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331ced0815cf5f85/Рабочий стол/"/>
    </mc:Choice>
  </mc:AlternateContent>
  <xr:revisionPtr revIDLastSave="0" documentId="8_{B918F055-3E7D-4B4A-9FC4-DFA8AA361407}" xr6:coauthVersionLast="47" xr6:coauthVersionMax="47" xr10:uidLastSave="{00000000-0000-0000-0000-000000000000}"/>
  <bookViews>
    <workbookView xWindow="390" yWindow="390" windowWidth="14640" windowHeight="15315" tabRatio="926" firstSheet="2" activeTab="4" xr2:uid="{00000000-000D-0000-FFFF-FFFF00000000}"/>
  </bookViews>
  <sheets>
    <sheet name="Лист1" sheetId="1" r:id="rId1"/>
    <sheet name="мкд" sheetId="2" r:id="rId2"/>
    <sheet name="1-я Стр 42" sheetId="3" r:id="rId3"/>
    <sheet name="1-я Стр 44" sheetId="4" r:id="rId4"/>
    <sheet name="1-я Стр 46" sheetId="5" r:id="rId5"/>
    <sheet name="Даг 7" sheetId="80" r:id="rId6"/>
    <sheet name="Даг 9" sheetId="79" r:id="rId7"/>
    <sheet name="Даг 9-1" sheetId="78" r:id="rId8"/>
    <sheet name="Даг 11" sheetId="6" r:id="rId9"/>
    <sheet name="Даг.11-1" sheetId="47" r:id="rId10"/>
    <sheet name="Даг 13" sheetId="7" r:id="rId11"/>
    <sheet name="Даг 17" sheetId="46" r:id="rId12"/>
    <sheet name="Даг 19" sheetId="45" r:id="rId13"/>
    <sheet name="Даг 31" sheetId="44" r:id="rId14"/>
    <sheet name="Лев 7" sheetId="77" r:id="rId15"/>
    <sheet name="Лев 14-1" sheetId="8" r:id="rId16"/>
    <sheet name="Лев 14-2" sheetId="9" r:id="rId17"/>
    <sheet name="Лев 14-3" sheetId="10" r:id="rId18"/>
    <sheet name="Лев 14-5" sheetId="11" r:id="rId19"/>
    <sheet name="Лев 14-6" sheetId="12" r:id="rId20"/>
    <sheet name="Лев 21а" sheetId="13" r:id="rId21"/>
    <sheet name="Лев 22-2" sheetId="14" r:id="rId22"/>
    <sheet name="Лев 71" sheetId="20" r:id="rId23"/>
    <sheet name="Мин 58" sheetId="19" r:id="rId24"/>
    <sheet name="Мус 7" sheetId="83" r:id="rId25"/>
    <sheet name="Мус 9-а" sheetId="81" r:id="rId26"/>
    <sheet name="Мус 11" sheetId="43" r:id="rId27"/>
    <sheet name="Мус 13" sheetId="41" r:id="rId28"/>
    <sheet name="Мус 13а" sheetId="42" r:id="rId29"/>
    <sheet name="Мус 15" sheetId="40" r:id="rId30"/>
    <sheet name="Мус 15-а" sheetId="39" r:id="rId31"/>
    <sheet name="Мус 17" sheetId="38" r:id="rId32"/>
    <sheet name="Мус 19-1" sheetId="37" r:id="rId33"/>
    <sheet name="Мус 19а" sheetId="36" r:id="rId34"/>
    <sheet name="Мус 19б" sheetId="35" r:id="rId35"/>
    <sheet name="Мус 21" sheetId="34" r:id="rId36"/>
    <sheet name="Мус 25-1" sheetId="33" r:id="rId37"/>
    <sheet name="М.Дж. 66" sheetId="49" r:id="rId38"/>
    <sheet name="Нов 2" sheetId="85" r:id="rId39"/>
    <sheet name="Пр 1" sheetId="75" r:id="rId40"/>
    <sheet name="Пр 2" sheetId="74" r:id="rId41"/>
    <sheet name="Пр 3" sheetId="73" r:id="rId42"/>
    <sheet name="Пр 4" sheetId="72" r:id="rId43"/>
    <sheet name="Пр 4-1" sheetId="71" r:id="rId44"/>
    <sheet name="Пр 6" sheetId="70" r:id="rId45"/>
    <sheet name="Пр 6а" sheetId="69" r:id="rId46"/>
    <sheet name="Пр 8" sheetId="68" r:id="rId47"/>
    <sheet name="Пр 8-1" sheetId="66" r:id="rId48"/>
    <sheet name="Пр 8-а" sheetId="67" r:id="rId49"/>
    <sheet name="Пр 10" sheetId="65" r:id="rId50"/>
    <sheet name="Пр 10-а" sheetId="64" r:id="rId51"/>
    <sheet name="Пр 11" sheetId="63" r:id="rId52"/>
    <sheet name="Пр 13" sheetId="62" r:id="rId53"/>
    <sheet name="Пр 15" sheetId="61" r:id="rId54"/>
    <sheet name="Пр 18" sheetId="32" r:id="rId55"/>
    <sheet name="Пр 18-1" sheetId="31" r:id="rId56"/>
    <sheet name="Пр 18-2" sheetId="30" r:id="rId57"/>
    <sheet name="Пр 18-3" sheetId="29" r:id="rId58"/>
    <sheet name="Пр 20" sheetId="28" r:id="rId59"/>
    <sheet name="Пр 20-1" sheetId="27" r:id="rId60"/>
    <sheet name="Пр 20-2" sheetId="26" r:id="rId61"/>
    <sheet name="Пр 25" sheetId="18" r:id="rId62"/>
    <sheet name="Пр 25-1" sheetId="17" r:id="rId63"/>
    <sheet name="Пр 25-2" sheetId="16" r:id="rId64"/>
    <sheet name="Пр 31-1" sheetId="15" r:id="rId65"/>
    <sheet name="Тал 4" sheetId="60" r:id="rId66"/>
    <sheet name="Тал 6" sheetId="59" r:id="rId67"/>
    <sheet name="Тал 7" sheetId="58" r:id="rId68"/>
    <sheet name="Тал 14" sheetId="57" r:id="rId69"/>
    <sheet name="Тал 21" sheetId="25" r:id="rId70"/>
    <sheet name="Тал 21а" sheetId="24" r:id="rId71"/>
    <sheet name="Тал 23" sheetId="23" r:id="rId72"/>
    <sheet name="Тал 23а" sheetId="22" r:id="rId73"/>
    <sheet name="Тал 23б" sheetId="21" r:id="rId74"/>
    <sheet name="Тал 24-1" sheetId="56" r:id="rId75"/>
    <sheet name="Тал 26-1" sheetId="55" r:id="rId76"/>
    <sheet name="Тал 28-1" sheetId="54" r:id="rId77"/>
    <sheet name="Ухт.26" sheetId="48" r:id="rId78"/>
    <sheet name="Центр 1-2" sheetId="53" r:id="rId79"/>
    <sheet name="Центр 6-1" sheetId="52" r:id="rId80"/>
    <sheet name="Центр 18-1" sheetId="51" r:id="rId81"/>
  </sheets>
  <externalReferences>
    <externalReference r:id="rId82"/>
    <externalReference r:id="rId83"/>
    <externalReference r:id="rId84"/>
    <externalReference r:id="rId85"/>
  </externalReferences>
  <definedNames>
    <definedName name="_xlnm._FilterDatabase" localSheetId="2" hidden="1">'1-я Стр 42'!$A$32:$B$89</definedName>
    <definedName name="_xlnm._FilterDatabase" localSheetId="3" hidden="1">'1-я Стр 44'!$A$32:$B$88</definedName>
    <definedName name="_xlnm._FilterDatabase" localSheetId="4" hidden="1">'1-я Стр 46'!$A$32:$B$88</definedName>
    <definedName name="_xlnm._FilterDatabase" localSheetId="8" hidden="1">'Даг 11'!$A$31:$G$89</definedName>
    <definedName name="_xlnm._FilterDatabase" localSheetId="10" hidden="1">'Даг 13'!$A$31:$G$88</definedName>
    <definedName name="_xlnm._FilterDatabase" localSheetId="11" hidden="1">'Даг 17'!$A$31:$G$84</definedName>
    <definedName name="_xlnm._FilterDatabase" localSheetId="12" hidden="1">'Даг 19'!$A$31:$G$89</definedName>
    <definedName name="_xlnm._FilterDatabase" localSheetId="13" hidden="1">'Даг 31'!$A$31:$G$89</definedName>
    <definedName name="_xlnm._FilterDatabase" localSheetId="5" hidden="1">'Даг 7'!$A$31:$G$89</definedName>
    <definedName name="_xlnm._FilterDatabase" localSheetId="6" hidden="1">'Даг 9'!$A$31:$G$89</definedName>
    <definedName name="_xlnm._FilterDatabase" localSheetId="7" hidden="1">'Даг 9-1'!$A$31:$G$89</definedName>
    <definedName name="_xlnm._FilterDatabase" localSheetId="9" hidden="1">'Даг.11-1'!$A$31:$G$90</definedName>
    <definedName name="_xlnm._FilterDatabase" localSheetId="15" hidden="1">'Лев 14-1'!$A$31:$G$89</definedName>
    <definedName name="_xlnm._FilterDatabase" localSheetId="16" hidden="1">'Лев 14-2'!$A$31:$G$89</definedName>
    <definedName name="_xlnm._FilterDatabase" localSheetId="17" hidden="1">'Лев 14-3'!$A$31:$G$89</definedName>
    <definedName name="_xlnm._FilterDatabase" localSheetId="18" hidden="1">'Лев 14-5'!$A$32:$B$88</definedName>
    <definedName name="_xlnm._FilterDatabase" localSheetId="19" hidden="1">'Лев 14-6'!$A$32:$B$87</definedName>
    <definedName name="_xlnm._FilterDatabase" localSheetId="20" hidden="1">'Лев 21а'!$A$31:$G$89</definedName>
    <definedName name="_xlnm._FilterDatabase" localSheetId="21" hidden="1">'Лев 22-2'!$A$32:$B$81</definedName>
    <definedName name="_xlnm._FilterDatabase" localSheetId="14" hidden="1">'Лев 7'!$A$31:$G$89</definedName>
    <definedName name="_xlnm._FilterDatabase" localSheetId="22" hidden="1">'Лев 71'!$A$32:$B$88</definedName>
    <definedName name="_xlnm._FilterDatabase" localSheetId="0" hidden="1">Лист1!$K$1:$O$220</definedName>
    <definedName name="_xlnm._FilterDatabase" localSheetId="37" hidden="1">'М.Дж. 66'!$A$32:$B$89</definedName>
    <definedName name="_xlnm._FilterDatabase" localSheetId="23" hidden="1">'Мин 58'!$A$32:$B$89</definedName>
    <definedName name="_xlnm._FilterDatabase" localSheetId="1" hidden="1">мкд!$W$3:$Y$221</definedName>
    <definedName name="_xlnm._FilterDatabase" localSheetId="26" hidden="1">'Мус 11'!$A$31:$G$89</definedName>
    <definedName name="_xlnm._FilterDatabase" localSheetId="27" hidden="1">'Мус 13'!$A$31:$G$85</definedName>
    <definedName name="_xlnm._FilterDatabase" localSheetId="28" hidden="1">'Мус 13а'!$A$31:$G$87</definedName>
    <definedName name="_xlnm._FilterDatabase" localSheetId="29" hidden="1">'Мус 15'!$A$31:$G$88</definedName>
    <definedName name="_xlnm._FilterDatabase" localSheetId="30" hidden="1">'Мус 15-а'!$A$30:$G$87</definedName>
    <definedName name="_xlnm._FilterDatabase" localSheetId="31" hidden="1">'Мус 17'!$A$31:$G$89</definedName>
    <definedName name="_xlnm._FilterDatabase" localSheetId="32" hidden="1">'Мус 19-1'!$A$31:$G$87</definedName>
    <definedName name="_xlnm._FilterDatabase" localSheetId="33" hidden="1">'Мус 19а'!$A$31:$G$89</definedName>
    <definedName name="_xlnm._FilterDatabase" localSheetId="34" hidden="1">'Мус 19б'!$A$32:$G$92</definedName>
    <definedName name="_xlnm._FilterDatabase" localSheetId="35" hidden="1">'Мус 21'!$A$32:$G$93</definedName>
    <definedName name="_xlnm._FilterDatabase" localSheetId="36" hidden="1">'Мус 25-1'!$A$32:$G$89</definedName>
    <definedName name="_xlnm._FilterDatabase" localSheetId="24" hidden="1">'Мус 7'!$A$31:$G$85</definedName>
    <definedName name="_xlnm._FilterDatabase" localSheetId="25" hidden="1">'Мус 9-а'!$A$31:$G$89</definedName>
    <definedName name="_xlnm._FilterDatabase" localSheetId="38" hidden="1">'Нов 2'!$A$32:$B$69</definedName>
    <definedName name="_xlnm._FilterDatabase" localSheetId="39" hidden="1">'Пр 1'!$A$31:$G$89</definedName>
    <definedName name="_xlnm._FilterDatabase" localSheetId="49" hidden="1">'Пр 10'!$A$31:$G$89</definedName>
    <definedName name="_xlnm._FilterDatabase" localSheetId="50" hidden="1">'Пр 10-а'!$A$31:$G$89</definedName>
    <definedName name="_xlnm._FilterDatabase" localSheetId="51" hidden="1">'Пр 11'!$A$31:$G$89</definedName>
    <definedName name="_xlnm._FilterDatabase" localSheetId="52" hidden="1">'Пр 13'!$A$31:$G$89</definedName>
    <definedName name="_xlnm._FilterDatabase" localSheetId="53" hidden="1">'Пр 15'!$A$31:$G$89</definedName>
    <definedName name="_xlnm._FilterDatabase" localSheetId="54" hidden="1">'Пр 18'!$A$32:$G$88</definedName>
    <definedName name="_xlnm._FilterDatabase" localSheetId="55" hidden="1">'Пр 18-1'!$A$32:$G$54</definedName>
    <definedName name="_xlnm._FilterDatabase" localSheetId="56" hidden="1">'Пр 18-2'!$A$32:$G$89</definedName>
    <definedName name="_xlnm._FilterDatabase" localSheetId="57" hidden="1">'Пр 18-3'!$A$32:$G$89</definedName>
    <definedName name="_xlnm._FilterDatabase" localSheetId="40" hidden="1">'Пр 2'!$A$31:$G$89</definedName>
    <definedName name="_xlnm._FilterDatabase" localSheetId="58" hidden="1">'Пр 20'!$A$31:$G$89</definedName>
    <definedName name="_xlnm._FilterDatabase" localSheetId="59" hidden="1">'Пр 20-1'!$A$32:$G$89</definedName>
    <definedName name="_xlnm._FilterDatabase" localSheetId="60" hidden="1">'Пр 20-2'!$A$32:$G$89</definedName>
    <definedName name="_xlnm._FilterDatabase" localSheetId="61" hidden="1">'Пр 25'!$A$32:$B$76</definedName>
    <definedName name="_xlnm._FilterDatabase" localSheetId="62" hidden="1">'Пр 25-1'!$A$32:$B$76</definedName>
    <definedName name="_xlnm._FilterDatabase" localSheetId="63" hidden="1">'Пр 25-2'!$A$32:$B$89</definedName>
    <definedName name="_xlnm._FilterDatabase" localSheetId="41" hidden="1">'Пр 3'!$A$31:$G$89</definedName>
    <definedName name="_xlnm._FilterDatabase" localSheetId="64" hidden="1">'Пр 31-1'!$A$32:$B$77</definedName>
    <definedName name="_xlnm._FilterDatabase" localSheetId="42" hidden="1">'Пр 4'!$A$31:$G$89</definedName>
    <definedName name="_xlnm._FilterDatabase" localSheetId="43" hidden="1">'Пр 4-1'!$A$31:$G$89</definedName>
    <definedName name="_xlnm._FilterDatabase" localSheetId="44" hidden="1">'Пр 6'!$A$31:$G$89</definedName>
    <definedName name="_xlnm._FilterDatabase" localSheetId="45" hidden="1">'Пр 6а'!$A$31:$G$89</definedName>
    <definedName name="_xlnm._FilterDatabase" localSheetId="46" hidden="1">'Пр 8'!$A$31:$G$89</definedName>
    <definedName name="_xlnm._FilterDatabase" localSheetId="47" hidden="1">'Пр 8-1'!$A$31:$G$89</definedName>
    <definedName name="_xlnm._FilterDatabase" localSheetId="48" hidden="1">'Пр 8-а'!$A$31:$G$89</definedName>
    <definedName name="_xlnm._FilterDatabase" localSheetId="68" hidden="1">'Тал 14'!$A$31:$G$89</definedName>
    <definedName name="_xlnm._FilterDatabase" localSheetId="69" hidden="1">'Тал 21'!$A$32:$G$89</definedName>
    <definedName name="_xlnm._FilterDatabase" localSheetId="70" hidden="1">'Тал 21а'!$A$31:$G$89</definedName>
    <definedName name="_xlnm._FilterDatabase" localSheetId="71" hidden="1">'Тал 23'!$A$32:$G$89</definedName>
    <definedName name="_xlnm._FilterDatabase" localSheetId="72" hidden="1">'Тал 23а'!$A$32:$G$89</definedName>
    <definedName name="_xlnm._FilterDatabase" localSheetId="73" hidden="1">'Тал 23б'!$A$31:$G$89</definedName>
    <definedName name="_xlnm._FilterDatabase" localSheetId="74" hidden="1">'Тал 24-1'!$A$31:$G$89</definedName>
    <definedName name="_xlnm._FilterDatabase" localSheetId="75" hidden="1">'Тал 26-1'!$A$31:$G$90</definedName>
    <definedName name="_xlnm._FilterDatabase" localSheetId="76" hidden="1">'Тал 28-1'!$A$31:$G$89</definedName>
    <definedName name="_xlnm._FilterDatabase" localSheetId="65" hidden="1">'Тал 4'!$A$31:$G$89</definedName>
    <definedName name="_xlnm._FilterDatabase" localSheetId="66" hidden="1">'Тал 6'!$A$31:$G$89</definedName>
    <definedName name="_xlnm._FilterDatabase" localSheetId="67" hidden="1">'Тал 7'!$A$31:$G$89</definedName>
    <definedName name="_xlnm._FilterDatabase" localSheetId="77" hidden="1">Ухт.26!$A$31:$G$89</definedName>
    <definedName name="_xlnm._FilterDatabase" localSheetId="78" hidden="1">'Центр 1-2'!$A$31:$G$89</definedName>
    <definedName name="_xlnm._FilterDatabase" localSheetId="80" hidden="1">'Центр 18-1'!$A$31:$G$89</definedName>
    <definedName name="_xlnm._FilterDatabase" localSheetId="79" hidden="1">'Центр 6-1'!$A$31:$G$89</definedName>
    <definedName name="_xlnm.Print_Area" localSheetId="2">'1-я Стр 42'!$A$1:$B$94</definedName>
    <definedName name="_xlnm.Print_Area" localSheetId="3">'1-я Стр 44'!$A$1:$B$93</definedName>
    <definedName name="_xlnm.Print_Area" localSheetId="4">'1-я Стр 46'!$A$1:$B$93</definedName>
    <definedName name="_xlnm.Print_Area" localSheetId="8">'Даг 11'!$A$1:$B$94</definedName>
    <definedName name="_xlnm.Print_Area" localSheetId="10">'Даг 13'!$A$1:$B$93</definedName>
    <definedName name="_xlnm.Print_Area" localSheetId="11">'Даг 17'!$A$1:$B$89</definedName>
    <definedName name="_xlnm.Print_Area" localSheetId="12">'Даг 19'!$A$1:$B$92</definedName>
    <definedName name="_xlnm.Print_Area" localSheetId="13">'Даг 31'!$A$1:$B$94</definedName>
    <definedName name="_xlnm.Print_Area" localSheetId="5">'Даг 7'!$A$1:$B$94</definedName>
    <definedName name="_xlnm.Print_Area" localSheetId="6">'Даг 9'!$A$1:$B$94</definedName>
    <definedName name="_xlnm.Print_Area" localSheetId="7">'Даг 9-1'!$A$1:$B$94</definedName>
    <definedName name="_xlnm.Print_Area" localSheetId="9">'Даг.11-1'!$A$1:$B$94</definedName>
    <definedName name="_xlnm.Print_Area" localSheetId="15">'Лев 14-1'!$A$1:$B$94</definedName>
    <definedName name="_xlnm.Print_Area" localSheetId="16">'Лев 14-2'!$A$1:$B$93</definedName>
    <definedName name="_xlnm.Print_Area" localSheetId="17">'Лев 14-3'!$A$1:$B$94</definedName>
    <definedName name="_xlnm.Print_Area" localSheetId="18">'Лев 14-5'!$A$1:$B$93</definedName>
    <definedName name="_xlnm.Print_Area" localSheetId="19">'Лев 14-6'!$A$1:$B$92</definedName>
    <definedName name="_xlnm.Print_Area" localSheetId="20">'Лев 21а'!$A$1:$B$94</definedName>
    <definedName name="_xlnm.Print_Area" localSheetId="21">'Лев 22-2'!$A$1:$B$86</definedName>
    <definedName name="_xlnm.Print_Area" localSheetId="14">'Лев 7'!$A$1:$B$94</definedName>
    <definedName name="_xlnm.Print_Area" localSheetId="22">'Лев 71'!$A$1:$B$93</definedName>
    <definedName name="_xlnm.Print_Area" localSheetId="37">'М.Дж. 66'!$A$1:$B$94</definedName>
    <definedName name="_xlnm.Print_Area" localSheetId="23">'Мин 58'!$A$1:$B$94</definedName>
    <definedName name="_xlnm.Print_Area" localSheetId="26">'Мус 11'!$A$1:$B$94</definedName>
    <definedName name="_xlnm.Print_Area" localSheetId="27">'Мус 13'!$A$1:$B$90</definedName>
    <definedName name="_xlnm.Print_Area" localSheetId="28">'Мус 13а'!$A$1:$B$92</definedName>
    <definedName name="_xlnm.Print_Area" localSheetId="29">'Мус 15'!$A$1:$B$93</definedName>
    <definedName name="_xlnm.Print_Area" localSheetId="30">'Мус 15-а'!$A$1:$B$92</definedName>
    <definedName name="_xlnm.Print_Area" localSheetId="31">'Мус 17'!$A$1:$B$94</definedName>
    <definedName name="_xlnm.Print_Area" localSheetId="32">'Мус 19-1'!$A$1:$B$92</definedName>
    <definedName name="_xlnm.Print_Area" localSheetId="33">'Мус 19а'!$A$1:$B$94</definedName>
    <definedName name="_xlnm.Print_Area" localSheetId="34">'Мус 19б'!$A$1:$B$97</definedName>
    <definedName name="_xlnm.Print_Area" localSheetId="35">'Мус 21'!$A$1:$B$98</definedName>
    <definedName name="_xlnm.Print_Area" localSheetId="36">'Мус 25-1'!$A$1:$B$94</definedName>
    <definedName name="_xlnm.Print_Area" localSheetId="24">'Мус 7'!$A$1:$B$90</definedName>
    <definedName name="_xlnm.Print_Area" localSheetId="25">'Мус 9-а'!$A$1:$B$94</definedName>
    <definedName name="_xlnm.Print_Area" localSheetId="38">'Нов 2'!$A$1:$B$74</definedName>
    <definedName name="_xlnm.Print_Area" localSheetId="39">'Пр 1'!$A$1:$B$94</definedName>
    <definedName name="_xlnm.Print_Area" localSheetId="49">'Пр 10'!$A$1:$B$94</definedName>
    <definedName name="_xlnm.Print_Area" localSheetId="50">'Пр 10-а'!$A$1:$B$94</definedName>
    <definedName name="_xlnm.Print_Area" localSheetId="51">'Пр 11'!$A$1:$B$94</definedName>
    <definedName name="_xlnm.Print_Area" localSheetId="52">'Пр 13'!$A$1:$B$94</definedName>
    <definedName name="_xlnm.Print_Area" localSheetId="53">'Пр 15'!$A$1:$B$94</definedName>
    <definedName name="_xlnm.Print_Area" localSheetId="54">'Пр 18'!$A$1:$B$93</definedName>
    <definedName name="_xlnm.Print_Area" localSheetId="55">'Пр 18-1'!$A$1:$B$94</definedName>
    <definedName name="_xlnm.Print_Area" localSheetId="56">'Пр 18-2'!$A$1:$B$94</definedName>
    <definedName name="_xlnm.Print_Area" localSheetId="57">'Пр 18-3'!$A$1:$B$94</definedName>
    <definedName name="_xlnm.Print_Area" localSheetId="40">'Пр 2'!$A$1:$B$94</definedName>
    <definedName name="_xlnm.Print_Area" localSheetId="58">'Пр 20'!$A$1:$B$94</definedName>
    <definedName name="_xlnm.Print_Area" localSheetId="59">'Пр 20-1'!$A$1:$B$94</definedName>
    <definedName name="_xlnm.Print_Area" localSheetId="60">'Пр 20-2'!$A$1:$B$94</definedName>
    <definedName name="_xlnm.Print_Area" localSheetId="61">'Пр 25'!$A$1:$B$81</definedName>
    <definedName name="_xlnm.Print_Area" localSheetId="62">'Пр 25-1'!$A$1:$B$81</definedName>
    <definedName name="_xlnm.Print_Area" localSheetId="63">'Пр 25-2'!$A$1:$B$94</definedName>
    <definedName name="_xlnm.Print_Area" localSheetId="41">'Пр 3'!$A$1:$B$94</definedName>
    <definedName name="_xlnm.Print_Area" localSheetId="64">'Пр 31-1'!$A$1:$B$82</definedName>
    <definedName name="_xlnm.Print_Area" localSheetId="42">'Пр 4'!$A$1:$B$94</definedName>
    <definedName name="_xlnm.Print_Area" localSheetId="43">'Пр 4-1'!$A$1:$B$94</definedName>
    <definedName name="_xlnm.Print_Area" localSheetId="44">'Пр 6'!$A$1:$B$94</definedName>
    <definedName name="_xlnm.Print_Area" localSheetId="45">'Пр 6а'!$A$1:$B$94</definedName>
    <definedName name="_xlnm.Print_Area" localSheetId="46">'Пр 8'!$A$1:$B$94</definedName>
    <definedName name="_xlnm.Print_Area" localSheetId="47">'Пр 8-1'!$A$1:$B$94</definedName>
    <definedName name="_xlnm.Print_Area" localSheetId="48">'Пр 8-а'!$A$1:$B$94</definedName>
    <definedName name="_xlnm.Print_Area" localSheetId="68">'Тал 14'!$A$1:$B$94</definedName>
    <definedName name="_xlnm.Print_Area" localSheetId="69">'Тал 21'!$A$1:$B$94</definedName>
    <definedName name="_xlnm.Print_Area" localSheetId="70">'Тал 21а'!$A$1:$B$94</definedName>
    <definedName name="_xlnm.Print_Area" localSheetId="71">'Тал 23'!$A$1:$B$94</definedName>
    <definedName name="_xlnm.Print_Area" localSheetId="72">'Тал 23а'!$A$1:$B$94</definedName>
    <definedName name="_xlnm.Print_Area" localSheetId="73">'Тал 23б'!$A$1:$B$95</definedName>
    <definedName name="_xlnm.Print_Area" localSheetId="74">'Тал 24-1'!$A$1:$B$94</definedName>
    <definedName name="_xlnm.Print_Area" localSheetId="75">'Тал 26-1'!$A$1:$B$93</definedName>
    <definedName name="_xlnm.Print_Area" localSheetId="76">'Тал 28-1'!$A$1:$B$94</definedName>
    <definedName name="_xlnm.Print_Area" localSheetId="65">'Тал 4'!$A$1:$B$94</definedName>
    <definedName name="_xlnm.Print_Area" localSheetId="66">'Тал 6'!$A$1:$B$94</definedName>
    <definedName name="_xlnm.Print_Area" localSheetId="67">'Тал 7'!$A$1:$B$94</definedName>
    <definedName name="_xlnm.Print_Area" localSheetId="77">Ухт.26!$A$1:$B$94</definedName>
    <definedName name="_xlnm.Print_Area" localSheetId="78">'Центр 1-2'!$A$1:$B$94</definedName>
    <definedName name="_xlnm.Print_Area" localSheetId="80">'Центр 18-1'!$A$1:$B$94</definedName>
    <definedName name="_xlnm.Print_Area" localSheetId="79">'Центр 6-1'!$A$1:$B$94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4" l="1"/>
  <c r="B25" i="5"/>
  <c r="B25" i="80"/>
  <c r="B25" i="79"/>
  <c r="B25" i="78"/>
  <c r="B25" i="6"/>
  <c r="B25" i="47"/>
  <c r="B25" i="7"/>
  <c r="B25" i="46"/>
  <c r="B25" i="45"/>
  <c r="B25" i="44"/>
  <c r="B25" i="77"/>
  <c r="B25" i="8"/>
  <c r="B25" i="9"/>
  <c r="B25" i="10"/>
  <c r="B25" i="11"/>
  <c r="B25" i="12"/>
  <c r="B25" i="13"/>
  <c r="B25" i="14"/>
  <c r="B25" i="20"/>
  <c r="B25" i="19"/>
  <c r="B25" i="83"/>
  <c r="B25" i="81"/>
  <c r="B25" i="43"/>
  <c r="B25" i="41"/>
  <c r="B25" i="42"/>
  <c r="B25" i="40"/>
  <c r="B25" i="38"/>
  <c r="B25" i="37"/>
  <c r="B25" i="36"/>
  <c r="B25" i="35"/>
  <c r="B25" i="34"/>
  <c r="B25" i="33"/>
  <c r="B25" i="49"/>
  <c r="B25" i="85"/>
  <c r="B25" i="75"/>
  <c r="B25" i="74"/>
  <c r="B25" i="73"/>
  <c r="B25" i="72"/>
  <c r="B25" i="71"/>
  <c r="B25" i="70"/>
  <c r="B25" i="69"/>
  <c r="B25" i="68"/>
  <c r="B25" i="66"/>
  <c r="B25" i="67"/>
  <c r="B25" i="65"/>
  <c r="B25" i="64"/>
  <c r="B25" i="63"/>
  <c r="B25" i="62"/>
  <c r="B25" i="61"/>
  <c r="B25" i="32"/>
  <c r="B25" i="31"/>
  <c r="B25" i="30"/>
  <c r="B25" i="29"/>
  <c r="B25" i="28"/>
  <c r="B25" i="27"/>
  <c r="B25" i="26"/>
  <c r="B25" i="18"/>
  <c r="B25" i="17"/>
  <c r="B25" i="16"/>
  <c r="B25" i="15"/>
  <c r="B25" i="60"/>
  <c r="B25" i="59"/>
  <c r="B25" i="58"/>
  <c r="B25" i="57"/>
  <c r="B25" i="25"/>
  <c r="B25" i="24"/>
  <c r="B25" i="23"/>
  <c r="B25" i="22"/>
  <c r="B25" i="21"/>
  <c r="B25" i="56"/>
  <c r="B25" i="55"/>
  <c r="B25" i="54"/>
  <c r="B25" i="48"/>
  <c r="B25" i="53"/>
  <c r="B25" i="52"/>
  <c r="B25" i="51"/>
  <c r="B25" i="3"/>
  <c r="B24" i="4"/>
  <c r="B24" i="5"/>
  <c r="B24" i="80"/>
  <c r="B24" i="79"/>
  <c r="B24" i="78"/>
  <c r="B24" i="6"/>
  <c r="B24" i="47"/>
  <c r="B24" i="7"/>
  <c r="B24" i="46"/>
  <c r="B24" i="45"/>
  <c r="B24" i="44"/>
  <c r="B24" i="77"/>
  <c r="B24" i="8"/>
  <c r="B24" i="9"/>
  <c r="B24" i="10"/>
  <c r="B24" i="11"/>
  <c r="B24" i="12"/>
  <c r="B24" i="13"/>
  <c r="B24" i="14"/>
  <c r="B24" i="20"/>
  <c r="B24" i="19"/>
  <c r="B24" i="83"/>
  <c r="B24" i="81"/>
  <c r="B24" i="43"/>
  <c r="B24" i="41"/>
  <c r="B24" i="42"/>
  <c r="B24" i="40"/>
  <c r="B24" i="38"/>
  <c r="B24" i="37"/>
  <c r="B24" i="36"/>
  <c r="B24" i="35"/>
  <c r="B24" i="34"/>
  <c r="B24" i="33"/>
  <c r="B24" i="49"/>
  <c r="B24" i="85"/>
  <c r="B24" i="75"/>
  <c r="B24" i="74"/>
  <c r="B24" i="73"/>
  <c r="B24" i="72"/>
  <c r="B24" i="71"/>
  <c r="B24" i="70"/>
  <c r="B24" i="69"/>
  <c r="B24" i="68"/>
  <c r="B24" i="66"/>
  <c r="B24" i="67"/>
  <c r="B24" i="65"/>
  <c r="B24" i="64"/>
  <c r="B24" i="63"/>
  <c r="B24" i="62"/>
  <c r="B24" i="61"/>
  <c r="B24" i="32"/>
  <c r="B24" i="31"/>
  <c r="B24" i="30"/>
  <c r="B24" i="29"/>
  <c r="B24" i="28"/>
  <c r="B24" i="27"/>
  <c r="B24" i="26"/>
  <c r="B24" i="18"/>
  <c r="B24" i="17"/>
  <c r="B24" i="16"/>
  <c r="B24" i="15"/>
  <c r="B24" i="60"/>
  <c r="B24" i="59"/>
  <c r="B24" i="58"/>
  <c r="B24" i="57"/>
  <c r="B24" i="25"/>
  <c r="B24" i="24"/>
  <c r="B24" i="23"/>
  <c r="B24" i="22"/>
  <c r="B24" i="21"/>
  <c r="B24" i="56"/>
  <c r="B24" i="55"/>
  <c r="B24" i="54"/>
  <c r="B24" i="48"/>
  <c r="B24" i="53"/>
  <c r="B24" i="52"/>
  <c r="B24" i="51"/>
  <c r="B24" i="3"/>
  <c r="B68" i="23" l="1"/>
  <c r="B79" i="24"/>
  <c r="B73" i="23"/>
  <c r="B74" i="23"/>
  <c r="B76" i="23"/>
  <c r="B79" i="25"/>
  <c r="B78" i="60"/>
  <c r="B76" i="60"/>
  <c r="B68" i="60"/>
  <c r="B68" i="16"/>
  <c r="B55" i="17"/>
  <c r="B68" i="17"/>
  <c r="B78" i="28"/>
  <c r="B76" i="28"/>
  <c r="B74" i="28"/>
  <c r="B73" i="28"/>
  <c r="B68" i="28"/>
  <c r="B78" i="29"/>
  <c r="B76" i="29"/>
  <c r="B74" i="29"/>
  <c r="C68" i="29"/>
  <c r="B81" i="51"/>
  <c r="B76" i="51"/>
  <c r="B74" i="51"/>
  <c r="B73" i="51"/>
  <c r="B68" i="51"/>
  <c r="B81" i="52"/>
  <c r="B76" i="52"/>
  <c r="B74" i="52"/>
  <c r="B73" i="52"/>
  <c r="B68" i="52"/>
  <c r="B81" i="53"/>
  <c r="B74" i="53"/>
  <c r="B73" i="53"/>
  <c r="B68" i="53"/>
  <c r="B81" i="48"/>
  <c r="B76" i="48"/>
  <c r="B74" i="48"/>
  <c r="B73" i="48"/>
  <c r="B68" i="48"/>
  <c r="B81" i="54"/>
  <c r="B76" i="54"/>
  <c r="B74" i="54"/>
  <c r="B73" i="54"/>
  <c r="B68" i="54"/>
  <c r="B81" i="55"/>
  <c r="B78" i="55"/>
  <c r="B76" i="55"/>
  <c r="B74" i="55"/>
  <c r="B73" i="55"/>
  <c r="B68" i="55"/>
  <c r="B81" i="56"/>
  <c r="B76" i="56"/>
  <c r="B74" i="56"/>
  <c r="B73" i="56"/>
  <c r="B68" i="56"/>
  <c r="B81" i="21"/>
  <c r="B80" i="21"/>
  <c r="B76" i="21"/>
  <c r="B74" i="21"/>
  <c r="B73" i="21"/>
  <c r="B68" i="21"/>
  <c r="B81" i="22"/>
  <c r="B76" i="22"/>
  <c r="B74" i="22"/>
  <c r="B73" i="22"/>
  <c r="B68" i="22"/>
  <c r="B81" i="23"/>
  <c r="B81" i="24"/>
  <c r="B76" i="24"/>
  <c r="B74" i="24"/>
  <c r="B73" i="24"/>
  <c r="B68" i="24"/>
  <c r="B81" i="25"/>
  <c r="B76" i="25"/>
  <c r="B74" i="25"/>
  <c r="B73" i="25"/>
  <c r="B68" i="25"/>
  <c r="B81" i="57"/>
  <c r="B76" i="57"/>
  <c r="B74" i="57"/>
  <c r="B73" i="57"/>
  <c r="B68" i="57"/>
  <c r="B81" i="58"/>
  <c r="B76" i="58"/>
  <c r="B74" i="58"/>
  <c r="B73" i="58"/>
  <c r="B68" i="58"/>
  <c r="B81" i="59"/>
  <c r="B76" i="59"/>
  <c r="B74" i="59"/>
  <c r="B73" i="59"/>
  <c r="B68" i="59"/>
  <c r="B81" i="60"/>
  <c r="B74" i="60"/>
  <c r="B73" i="60"/>
  <c r="B69" i="15"/>
  <c r="B66" i="15"/>
  <c r="B64" i="15"/>
  <c r="B62" i="15"/>
  <c r="B61" i="15"/>
  <c r="B56" i="15"/>
  <c r="B81" i="16"/>
  <c r="B78" i="16"/>
  <c r="B76" i="16"/>
  <c r="B74" i="16"/>
  <c r="B73" i="16"/>
  <c r="B65" i="17"/>
  <c r="B63" i="17"/>
  <c r="B61" i="17"/>
  <c r="B60" i="17"/>
  <c r="B81" i="26"/>
  <c r="B76" i="26"/>
  <c r="B74" i="26"/>
  <c r="B73" i="26"/>
  <c r="B68" i="26"/>
  <c r="B81" i="27"/>
  <c r="B78" i="27"/>
  <c r="B76" i="27"/>
  <c r="B74" i="27"/>
  <c r="B73" i="27"/>
  <c r="B68" i="27"/>
  <c r="B81" i="28"/>
  <c r="B81" i="29"/>
  <c r="B73" i="29"/>
  <c r="B81" i="30"/>
  <c r="B76" i="30"/>
  <c r="B74" i="30"/>
  <c r="B73" i="30"/>
  <c r="B68" i="30"/>
  <c r="B81" i="31"/>
  <c r="B76" i="31"/>
  <c r="B74" i="31"/>
  <c r="B73" i="31"/>
  <c r="B68" i="31"/>
  <c r="B80" i="32"/>
  <c r="B75" i="32"/>
  <c r="B73" i="32"/>
  <c r="B72" i="32"/>
  <c r="B67" i="32"/>
  <c r="B81" i="61"/>
  <c r="B76" i="61"/>
  <c r="B74" i="61"/>
  <c r="B73" i="61"/>
  <c r="B68" i="61"/>
  <c r="B81" i="62"/>
  <c r="B76" i="62"/>
  <c r="B74" i="62"/>
  <c r="B73" i="62"/>
  <c r="B68" i="62"/>
  <c r="B81" i="63"/>
  <c r="B76" i="63"/>
  <c r="B74" i="63"/>
  <c r="B73" i="63"/>
  <c r="B68" i="63"/>
  <c r="B81" i="64"/>
  <c r="B76" i="64"/>
  <c r="B74" i="64"/>
  <c r="B73" i="64"/>
  <c r="B68" i="64"/>
  <c r="B81" i="65"/>
  <c r="B76" i="65"/>
  <c r="B74" i="65"/>
  <c r="B73" i="65"/>
  <c r="B68" i="65"/>
  <c r="B81" i="67" l="1"/>
  <c r="B76" i="67"/>
  <c r="B74" i="67"/>
  <c r="B73" i="67"/>
  <c r="B68" i="67"/>
  <c r="B81" i="66"/>
  <c r="B76" i="66"/>
  <c r="B74" i="66"/>
  <c r="B73" i="66"/>
  <c r="B68" i="66"/>
  <c r="B81" i="68"/>
  <c r="B76" i="68"/>
  <c r="B74" i="68"/>
  <c r="B73" i="68"/>
  <c r="B68" i="68"/>
  <c r="B81" i="69"/>
  <c r="B76" i="69"/>
  <c r="B74" i="69"/>
  <c r="B73" i="69"/>
  <c r="B68" i="69"/>
  <c r="B81" i="70"/>
  <c r="B76" i="70"/>
  <c r="B74" i="70"/>
  <c r="B73" i="70"/>
  <c r="B68" i="70"/>
  <c r="B81" i="71"/>
  <c r="B76" i="71"/>
  <c r="B74" i="71"/>
  <c r="B73" i="71"/>
  <c r="B68" i="71"/>
  <c r="B81" i="72"/>
  <c r="B76" i="72"/>
  <c r="B74" i="72"/>
  <c r="B73" i="72"/>
  <c r="B70" i="72"/>
  <c r="B68" i="72"/>
  <c r="B76" i="73"/>
  <c r="B81" i="73"/>
  <c r="B78" i="73"/>
  <c r="B68" i="73"/>
  <c r="B74" i="73"/>
  <c r="B73" i="73"/>
  <c r="B81" i="74"/>
  <c r="B76" i="74"/>
  <c r="B74" i="74"/>
  <c r="B73" i="74"/>
  <c r="B68" i="74"/>
  <c r="B81" i="75"/>
  <c r="B76" i="75"/>
  <c r="B74" i="75"/>
  <c r="B73" i="75"/>
  <c r="B68" i="75"/>
  <c r="B61" i="85"/>
  <c r="B58" i="85"/>
  <c r="B56" i="85"/>
  <c r="B53" i="85"/>
  <c r="B49" i="85"/>
  <c r="B81" i="49"/>
  <c r="B76" i="49"/>
  <c r="B73" i="49"/>
  <c r="B68" i="49"/>
  <c r="B81" i="33"/>
  <c r="B76" i="33"/>
  <c r="B74" i="33"/>
  <c r="B73" i="33"/>
  <c r="B68" i="33"/>
  <c r="B85" i="34"/>
  <c r="B80" i="34"/>
  <c r="B78" i="34"/>
  <c r="B77" i="34"/>
  <c r="B72" i="34"/>
  <c r="B84" i="35"/>
  <c r="B82" i="35"/>
  <c r="B79" i="36"/>
  <c r="B77" i="37"/>
  <c r="B79" i="35"/>
  <c r="B77" i="35"/>
  <c r="B76" i="35"/>
  <c r="B81" i="36"/>
  <c r="B76" i="36"/>
  <c r="B74" i="36"/>
  <c r="B73" i="36"/>
  <c r="B68" i="36"/>
  <c r="B76" i="37"/>
  <c r="B79" i="37"/>
  <c r="B72" i="37"/>
  <c r="B71" i="37"/>
  <c r="B81" i="38"/>
  <c r="B68" i="38"/>
  <c r="B76" i="38"/>
  <c r="B74" i="38"/>
  <c r="B73" i="38"/>
  <c r="B66" i="39"/>
  <c r="B79" i="39"/>
  <c r="B72" i="39"/>
  <c r="B71" i="39"/>
  <c r="B80" i="40"/>
  <c r="B72" i="40"/>
  <c r="B79" i="42"/>
  <c r="B71" i="42"/>
  <c r="B77" i="41"/>
  <c r="B69" i="41"/>
  <c r="B81" i="43"/>
  <c r="B74" i="43"/>
  <c r="B73" i="43"/>
  <c r="B81" i="81"/>
  <c r="B73" i="81"/>
  <c r="B68" i="81"/>
  <c r="B72" i="83"/>
  <c r="B69" i="83"/>
  <c r="B64" i="83"/>
  <c r="B78" i="19"/>
  <c r="B76" i="19"/>
  <c r="B74" i="19"/>
  <c r="B73" i="19"/>
  <c r="B59" i="18"/>
  <c r="B70" i="4"/>
  <c r="B68" i="19"/>
  <c r="B75" i="20"/>
  <c r="B77" i="20"/>
  <c r="B73" i="20"/>
  <c r="B72" i="20"/>
  <c r="B68" i="20"/>
  <c r="B70" i="14"/>
  <c r="B68" i="14"/>
  <c r="B66" i="14"/>
  <c r="B65" i="14"/>
  <c r="B60" i="14"/>
  <c r="B73" i="13"/>
  <c r="B81" i="13"/>
  <c r="B78" i="13"/>
  <c r="B76" i="13"/>
  <c r="B74" i="13"/>
  <c r="B68" i="13"/>
  <c r="B77" i="11"/>
  <c r="B75" i="11"/>
  <c r="B73" i="11"/>
  <c r="B72" i="11"/>
  <c r="B78" i="12"/>
  <c r="B76" i="12"/>
  <c r="B74" i="12"/>
  <c r="B72" i="12"/>
  <c r="B71" i="12"/>
  <c r="B66" i="12"/>
  <c r="B28" i="44" l="1"/>
  <c r="B45" i="28" l="1"/>
  <c r="B33" i="26"/>
  <c r="B45" i="17"/>
  <c r="B45" i="16"/>
  <c r="B45" i="15"/>
  <c r="B33" i="58"/>
  <c r="B33" i="56"/>
  <c r="B33" i="55"/>
  <c r="B33" i="54"/>
  <c r="B45" i="48"/>
  <c r="B33" i="53"/>
  <c r="B67" i="11" l="1"/>
  <c r="C80" i="11"/>
  <c r="B81" i="10"/>
  <c r="B79" i="10"/>
  <c r="B79" i="77"/>
  <c r="B76" i="10"/>
  <c r="B74" i="10"/>
  <c r="B73" i="10"/>
  <c r="B70" i="10"/>
  <c r="B68" i="10"/>
  <c r="B81" i="9"/>
  <c r="B80" i="9"/>
  <c r="B78" i="9"/>
  <c r="B76" i="9"/>
  <c r="B74" i="9"/>
  <c r="B73" i="9"/>
  <c r="B68" i="9"/>
  <c r="B81" i="8"/>
  <c r="B76" i="8"/>
  <c r="B74" i="8"/>
  <c r="B73" i="8"/>
  <c r="B68" i="8"/>
  <c r="B81" i="77"/>
  <c r="B76" i="77"/>
  <c r="B74" i="77"/>
  <c r="B73" i="77"/>
  <c r="B68" i="77"/>
  <c r="B81" i="44"/>
  <c r="B76" i="44"/>
  <c r="B73" i="44"/>
  <c r="B81" i="45" l="1"/>
  <c r="B76" i="45"/>
  <c r="B73" i="45"/>
  <c r="B68" i="45"/>
  <c r="B76" i="46"/>
  <c r="B71" i="46"/>
  <c r="B68" i="46"/>
  <c r="B63" i="46"/>
  <c r="B72" i="7"/>
  <c r="B80" i="7"/>
  <c r="B75" i="7"/>
  <c r="B73" i="7"/>
  <c r="B67" i="7"/>
  <c r="B81" i="47"/>
  <c r="B74" i="47"/>
  <c r="B79" i="47"/>
  <c r="B78" i="7"/>
  <c r="B76" i="47"/>
  <c r="B75" i="47"/>
  <c r="B73" i="47"/>
  <c r="E49" i="47"/>
  <c r="B81" i="6" l="1"/>
  <c r="B76" i="6"/>
  <c r="B74" i="6"/>
  <c r="B73" i="6"/>
  <c r="B68" i="6"/>
  <c r="B81" i="78"/>
  <c r="B79" i="78"/>
  <c r="B76" i="78"/>
  <c r="B74" i="78"/>
  <c r="B73" i="78"/>
  <c r="B70" i="78"/>
  <c r="B68" i="78"/>
  <c r="B70" i="79"/>
  <c r="B81" i="79"/>
  <c r="B76" i="79"/>
  <c r="B74" i="79"/>
  <c r="B73" i="79"/>
  <c r="B68" i="79"/>
  <c r="B58" i="74" l="1"/>
  <c r="B62" i="75"/>
  <c r="B42" i="85"/>
  <c r="B60" i="49"/>
  <c r="B51" i="33"/>
  <c r="B62" i="34"/>
  <c r="B55" i="35"/>
  <c r="B52" i="36"/>
  <c r="B62" i="37"/>
  <c r="B53" i="38"/>
  <c r="B49" i="39"/>
  <c r="B57" i="40"/>
  <c r="B55" i="42"/>
  <c r="B51" i="41"/>
  <c r="B64" i="43"/>
  <c r="B58" i="81"/>
  <c r="B58" i="13"/>
  <c r="B62" i="12"/>
  <c r="B63" i="11"/>
  <c r="B64" i="10"/>
  <c r="B64" i="9"/>
  <c r="B51" i="8"/>
  <c r="B64" i="77"/>
  <c r="B56" i="44"/>
  <c r="B50" i="45"/>
  <c r="B59" i="46"/>
  <c r="B63" i="7"/>
  <c r="B64" i="47"/>
  <c r="B62" i="6"/>
  <c r="B58" i="79"/>
  <c r="B64" i="78"/>
  <c r="B76" i="80" l="1"/>
  <c r="B74" i="80"/>
  <c r="B73" i="80"/>
  <c r="B68" i="80"/>
  <c r="B33" i="80"/>
  <c r="B67" i="5"/>
  <c r="B80" i="5"/>
  <c r="B77" i="5"/>
  <c r="B75" i="5"/>
  <c r="B73" i="5"/>
  <c r="B72" i="5"/>
  <c r="B45" i="5"/>
  <c r="B77" i="4"/>
  <c r="B75" i="4"/>
  <c r="B73" i="4"/>
  <c r="B72" i="4"/>
  <c r="B67" i="4"/>
  <c r="E80" i="4"/>
  <c r="B78" i="3" l="1"/>
  <c r="B76" i="3"/>
  <c r="B74" i="3"/>
  <c r="B73" i="3"/>
  <c r="B68" i="3"/>
  <c r="B33" i="3" l="1"/>
  <c r="B33" i="61" l="1"/>
  <c r="B33" i="62"/>
  <c r="B33" i="63"/>
  <c r="B33" i="72"/>
  <c r="B33" i="75"/>
  <c r="B41" i="85"/>
  <c r="B38" i="85" s="1"/>
  <c r="B33" i="85"/>
  <c r="B32" i="85" s="1"/>
  <c r="B45" i="49"/>
  <c r="B32" i="34"/>
  <c r="B45" i="36"/>
  <c r="B42" i="36" s="1"/>
  <c r="B43" i="37"/>
  <c r="B45" i="38"/>
  <c r="B42" i="38" s="1"/>
  <c r="B41" i="41"/>
  <c r="B45" i="81"/>
  <c r="B42" i="81" s="1"/>
  <c r="B33" i="83"/>
  <c r="B33" i="19"/>
  <c r="B45" i="19"/>
  <c r="B45" i="20"/>
  <c r="B33" i="20"/>
  <c r="B45" i="14"/>
  <c r="B45" i="12"/>
  <c r="B45" i="11"/>
  <c r="B33" i="8"/>
  <c r="B32" i="8" s="1"/>
  <c r="B40" i="46"/>
  <c r="B33" i="6"/>
  <c r="B33" i="78"/>
  <c r="B33" i="79"/>
  <c r="B32" i="79" s="1"/>
  <c r="B33" i="5"/>
  <c r="B44" i="4"/>
  <c r="B41" i="4" s="1"/>
  <c r="B33" i="4"/>
  <c r="B32" i="4" s="1"/>
  <c r="B45" i="3"/>
  <c r="B80" i="52"/>
  <c r="B80" i="51"/>
  <c r="B80" i="53"/>
  <c r="B80" i="48"/>
  <c r="B80" i="54"/>
  <c r="B80" i="55"/>
  <c r="B80" i="56"/>
  <c r="B80" i="22"/>
  <c r="B80" i="23"/>
  <c r="B80" i="24"/>
  <c r="B80" i="25"/>
  <c r="B80" i="57"/>
  <c r="B80" i="58"/>
  <c r="B80" i="59"/>
  <c r="B80" i="60"/>
  <c r="B68" i="15"/>
  <c r="B80" i="16"/>
  <c r="B67" i="17"/>
  <c r="B67" i="18"/>
  <c r="B80" i="26"/>
  <c r="B80" i="27"/>
  <c r="B80" i="28"/>
  <c r="B80" i="29"/>
  <c r="B80" i="30"/>
  <c r="B80" i="31"/>
  <c r="B79" i="32"/>
  <c r="B80" i="61"/>
  <c r="B80" i="62"/>
  <c r="B80" i="63"/>
  <c r="B80" i="64"/>
  <c r="B80" i="65"/>
  <c r="B80" i="67"/>
  <c r="B80" i="66"/>
  <c r="B80" i="68"/>
  <c r="B80" i="69"/>
  <c r="B80" i="70"/>
  <c r="B80" i="71"/>
  <c r="B80" i="72"/>
  <c r="B80" i="73"/>
  <c r="B80" i="74"/>
  <c r="B80" i="75"/>
  <c r="B60" i="85"/>
  <c r="B80" i="49"/>
  <c r="B80" i="33"/>
  <c r="B84" i="34"/>
  <c r="B83" i="35"/>
  <c r="B80" i="36"/>
  <c r="B78" i="37"/>
  <c r="B80" i="38"/>
  <c r="B78" i="39"/>
  <c r="B79" i="40"/>
  <c r="B78" i="42"/>
  <c r="B76" i="41"/>
  <c r="B80" i="43"/>
  <c r="B80" i="81"/>
  <c r="B59" i="83"/>
  <c r="B80" i="19"/>
  <c r="B79" i="20"/>
  <c r="B72" i="14"/>
  <c r="B80" i="13"/>
  <c r="B79" i="11"/>
  <c r="B80" i="10"/>
  <c r="B63" i="9"/>
  <c r="B80" i="8"/>
  <c r="B80" i="77"/>
  <c r="B80" i="44"/>
  <c r="B80" i="45"/>
  <c r="B75" i="46"/>
  <c r="B79" i="7"/>
  <c r="B80" i="47"/>
  <c r="B80" i="6"/>
  <c r="B80" i="78"/>
  <c r="B80" i="79"/>
  <c r="B80" i="80"/>
  <c r="B79" i="5"/>
  <c r="B79" i="4"/>
  <c r="B80" i="3"/>
  <c r="B51" i="53"/>
  <c r="B52" i="48"/>
  <c r="B46" i="48" s="1"/>
  <c r="B49" i="54"/>
  <c r="B51" i="15"/>
  <c r="B46" i="15" s="1"/>
  <c r="B59" i="16"/>
  <c r="B46" i="16" s="1"/>
  <c r="B54" i="18"/>
  <c r="B62" i="26"/>
  <c r="B59" i="61"/>
  <c r="B49" i="63"/>
  <c r="B57" i="75"/>
  <c r="B65" i="33"/>
  <c r="B65" i="34"/>
  <c r="B50" i="43"/>
  <c r="B59" i="19"/>
  <c r="B59" i="20"/>
  <c r="B65" i="10"/>
  <c r="B62" i="9"/>
  <c r="B55" i="8"/>
  <c r="B62" i="77"/>
  <c r="B46" i="77" s="1"/>
  <c r="B56" i="53"/>
  <c r="B63" i="54"/>
  <c r="B76" i="83"/>
  <c r="B63" i="8"/>
  <c r="B10" i="4"/>
  <c r="B10" i="5"/>
  <c r="B10" i="80"/>
  <c r="B10" i="79"/>
  <c r="B10" i="78"/>
  <c r="B10" i="6"/>
  <c r="B10" i="47"/>
  <c r="B10" i="7"/>
  <c r="B10" i="46"/>
  <c r="B10" i="45"/>
  <c r="B10" i="44"/>
  <c r="B10" i="77"/>
  <c r="B10" i="8"/>
  <c r="B10" i="9"/>
  <c r="B10" i="10"/>
  <c r="B10" i="11"/>
  <c r="B10" i="12"/>
  <c r="B10" i="13"/>
  <c r="B10" i="14"/>
  <c r="B10" i="20"/>
  <c r="B10" i="19"/>
  <c r="B10" i="83"/>
  <c r="B10" i="81"/>
  <c r="B10" i="43"/>
  <c r="B10" i="41"/>
  <c r="B10" i="42"/>
  <c r="B10" i="40"/>
  <c r="B10" i="39"/>
  <c r="B10" i="38"/>
  <c r="B10" i="37"/>
  <c r="B10" i="36"/>
  <c r="B10" i="35"/>
  <c r="B10" i="34"/>
  <c r="B10" i="33"/>
  <c r="B10" i="49"/>
  <c r="B10" i="85"/>
  <c r="B10" i="75"/>
  <c r="B10" i="74"/>
  <c r="B10" i="73"/>
  <c r="B10" i="72"/>
  <c r="B10" i="71"/>
  <c r="B10" i="70"/>
  <c r="B10" i="69"/>
  <c r="B10" i="68"/>
  <c r="B10" i="66"/>
  <c r="B10" i="67"/>
  <c r="B10" i="65"/>
  <c r="B10" i="64"/>
  <c r="B10" i="63"/>
  <c r="B10" i="62"/>
  <c r="B10" i="61"/>
  <c r="B10" i="32"/>
  <c r="B10" i="31"/>
  <c r="B10" i="30"/>
  <c r="B10" i="29"/>
  <c r="B10" i="28"/>
  <c r="B10" i="27"/>
  <c r="B10" i="26"/>
  <c r="B10" i="17"/>
  <c r="B10" i="16"/>
  <c r="B10" i="15"/>
  <c r="B10" i="60"/>
  <c r="B10" i="59"/>
  <c r="B10" i="58"/>
  <c r="B10" i="57"/>
  <c r="B10" i="25"/>
  <c r="B10" i="24"/>
  <c r="B10" i="23"/>
  <c r="B10" i="22"/>
  <c r="B10" i="56"/>
  <c r="B10" i="55"/>
  <c r="B10" i="54"/>
  <c r="B10" i="48"/>
  <c r="B10" i="53"/>
  <c r="B10" i="52"/>
  <c r="B10" i="51"/>
  <c r="B10" i="3"/>
  <c r="B59" i="85"/>
  <c r="B57" i="85" s="1"/>
  <c r="B55" i="85"/>
  <c r="B43" i="85"/>
  <c r="G32" i="85"/>
  <c r="F32" i="85"/>
  <c r="B27" i="85"/>
  <c r="C61" i="85"/>
  <c r="B16" i="85"/>
  <c r="C54" i="85" s="1"/>
  <c r="B15" i="85"/>
  <c r="B15" i="83"/>
  <c r="B16" i="83"/>
  <c r="B77" i="83"/>
  <c r="B27" i="83"/>
  <c r="B32" i="83"/>
  <c r="F32" i="83"/>
  <c r="G32" i="83"/>
  <c r="B38" i="83"/>
  <c r="B48" i="83"/>
  <c r="D52" i="83"/>
  <c r="D53" i="83"/>
  <c r="B55" i="83"/>
  <c r="D61" i="83"/>
  <c r="B71" i="83"/>
  <c r="B75" i="83"/>
  <c r="B15" i="81"/>
  <c r="B16" i="81"/>
  <c r="B27" i="81"/>
  <c r="F32" i="81"/>
  <c r="G32" i="81"/>
  <c r="D56" i="81"/>
  <c r="D57" i="81"/>
  <c r="B59" i="81"/>
  <c r="B46" i="81" s="1"/>
  <c r="E55" i="81" s="1"/>
  <c r="D65" i="81"/>
  <c r="B79" i="81"/>
  <c r="B79" i="80"/>
  <c r="B75" i="80"/>
  <c r="D65" i="80"/>
  <c r="B59" i="80"/>
  <c r="D57" i="80"/>
  <c r="D56" i="80"/>
  <c r="B52" i="80"/>
  <c r="B32" i="80"/>
  <c r="G32" i="80"/>
  <c r="F32" i="80"/>
  <c r="B16" i="80"/>
  <c r="B15" i="80"/>
  <c r="B79" i="79"/>
  <c r="B75" i="79"/>
  <c r="D65" i="79"/>
  <c r="B59" i="79"/>
  <c r="D57" i="79"/>
  <c r="D56" i="79"/>
  <c r="B52" i="79"/>
  <c r="G32" i="79"/>
  <c r="F32" i="79"/>
  <c r="B16" i="79"/>
  <c r="B15" i="79"/>
  <c r="B75" i="78"/>
  <c r="B59" i="78"/>
  <c r="D57" i="78"/>
  <c r="D56" i="78"/>
  <c r="B52" i="78"/>
  <c r="B32" i="78"/>
  <c r="G32" i="78"/>
  <c r="F32" i="78"/>
  <c r="B16" i="78"/>
  <c r="B15" i="78"/>
  <c r="B75" i="77"/>
  <c r="D65" i="77"/>
  <c r="D57" i="77"/>
  <c r="D56" i="77"/>
  <c r="G32" i="77"/>
  <c r="F32" i="77"/>
  <c r="B32" i="77"/>
  <c r="B16" i="77"/>
  <c r="B15" i="77"/>
  <c r="B45" i="77" s="1"/>
  <c r="B79" i="75"/>
  <c r="B75" i="75"/>
  <c r="C58" i="75"/>
  <c r="D57" i="75"/>
  <c r="D56" i="75"/>
  <c r="D49" i="75"/>
  <c r="B46" i="75"/>
  <c r="G32" i="75"/>
  <c r="F32" i="75"/>
  <c r="B32" i="75"/>
  <c r="B16" i="75"/>
  <c r="C68" i="75" s="1"/>
  <c r="B15" i="75"/>
  <c r="B79" i="74"/>
  <c r="B75" i="74"/>
  <c r="D65" i="74"/>
  <c r="B59" i="74"/>
  <c r="D57" i="74"/>
  <c r="D56" i="74"/>
  <c r="B52" i="74"/>
  <c r="B46" i="74" s="1"/>
  <c r="B32" i="74"/>
  <c r="G32" i="74"/>
  <c r="F32" i="74"/>
  <c r="B16" i="74"/>
  <c r="B15" i="74"/>
  <c r="B79" i="73"/>
  <c r="B77" i="73" s="1"/>
  <c r="B75" i="73"/>
  <c r="B59" i="73"/>
  <c r="B46" i="73" s="1"/>
  <c r="D57" i="73"/>
  <c r="D56" i="73"/>
  <c r="G32" i="73"/>
  <c r="F32" i="73"/>
  <c r="B32" i="73"/>
  <c r="B27" i="73"/>
  <c r="B16" i="73"/>
  <c r="B15" i="73"/>
  <c r="B79" i="72"/>
  <c r="B75" i="72"/>
  <c r="D65" i="72"/>
  <c r="B59" i="72"/>
  <c r="D57" i="72"/>
  <c r="D56" i="72"/>
  <c r="B52" i="72"/>
  <c r="B32" i="72"/>
  <c r="G32" i="72"/>
  <c r="F32" i="72"/>
  <c r="B16" i="72"/>
  <c r="B15" i="72"/>
  <c r="B79" i="71"/>
  <c r="B75" i="71"/>
  <c r="D65" i="71"/>
  <c r="B59" i="71"/>
  <c r="B46" i="71" s="1"/>
  <c r="D57" i="71"/>
  <c r="D56" i="71"/>
  <c r="B32" i="71"/>
  <c r="G32" i="71"/>
  <c r="F32" i="71"/>
  <c r="B27" i="71"/>
  <c r="B16" i="71"/>
  <c r="C68" i="71" s="1"/>
  <c r="B15" i="71"/>
  <c r="B79" i="70"/>
  <c r="B75" i="70"/>
  <c r="D65" i="70"/>
  <c r="B59" i="70"/>
  <c r="B46" i="70" s="1"/>
  <c r="D57" i="70"/>
  <c r="D56" i="70"/>
  <c r="B52" i="70"/>
  <c r="B32" i="70"/>
  <c r="G32" i="70"/>
  <c r="F32" i="70"/>
  <c r="B16" i="70"/>
  <c r="C68" i="70" s="1"/>
  <c r="B15" i="70"/>
  <c r="B79" i="69"/>
  <c r="B75" i="69"/>
  <c r="D65" i="69"/>
  <c r="B59" i="69"/>
  <c r="D57" i="69"/>
  <c r="D56" i="69"/>
  <c r="B52" i="69"/>
  <c r="B32" i="69"/>
  <c r="G32" i="69"/>
  <c r="F32" i="69"/>
  <c r="B27" i="69"/>
  <c r="B16" i="69"/>
  <c r="C68" i="69" s="1"/>
  <c r="B15" i="69"/>
  <c r="B79" i="68"/>
  <c r="B75" i="68"/>
  <c r="D65" i="68"/>
  <c r="D57" i="68"/>
  <c r="D56" i="68"/>
  <c r="B52" i="68"/>
  <c r="B46" i="68" s="1"/>
  <c r="G32" i="68"/>
  <c r="F32" i="68"/>
  <c r="B32" i="68"/>
  <c r="B16" i="68"/>
  <c r="B15" i="68"/>
  <c r="B79" i="67"/>
  <c r="B75" i="67"/>
  <c r="D65" i="67"/>
  <c r="B59" i="67"/>
  <c r="D57" i="67"/>
  <c r="D56" i="67"/>
  <c r="B52" i="67"/>
  <c r="B32" i="67"/>
  <c r="G32" i="67"/>
  <c r="F32" i="67"/>
  <c r="B27" i="67"/>
  <c r="B16" i="67"/>
  <c r="B15" i="67"/>
  <c r="B79" i="66"/>
  <c r="B75" i="66"/>
  <c r="D65" i="66"/>
  <c r="B59" i="66"/>
  <c r="D57" i="66"/>
  <c r="D56" i="66"/>
  <c r="B52" i="66"/>
  <c r="G32" i="66"/>
  <c r="F32" i="66"/>
  <c r="B32" i="66"/>
  <c r="B27" i="66"/>
  <c r="B16" i="66"/>
  <c r="C68" i="66" s="1"/>
  <c r="B15" i="66"/>
  <c r="B79" i="65"/>
  <c r="B75" i="65"/>
  <c r="D65" i="65"/>
  <c r="B59" i="65"/>
  <c r="D57" i="65"/>
  <c r="D56" i="65"/>
  <c r="B52" i="65"/>
  <c r="B32" i="65"/>
  <c r="G32" i="65"/>
  <c r="F32" i="65"/>
  <c r="B16" i="65"/>
  <c r="B15" i="65"/>
  <c r="B79" i="64"/>
  <c r="B75" i="64"/>
  <c r="D65" i="64"/>
  <c r="B59" i="64"/>
  <c r="D57" i="64"/>
  <c r="D56" i="64"/>
  <c r="B52" i="64"/>
  <c r="B32" i="64"/>
  <c r="G32" i="64"/>
  <c r="F32" i="64"/>
  <c r="B27" i="64"/>
  <c r="B16" i="64"/>
  <c r="B15" i="64"/>
  <c r="B78" i="64" s="1"/>
  <c r="B79" i="63"/>
  <c r="B75" i="63"/>
  <c r="D65" i="63"/>
  <c r="B59" i="63"/>
  <c r="D57" i="63"/>
  <c r="D56" i="63"/>
  <c r="B52" i="63"/>
  <c r="B32" i="63"/>
  <c r="G32" i="63"/>
  <c r="F32" i="63"/>
  <c r="B16" i="63"/>
  <c r="B15" i="63"/>
  <c r="B78" i="63" s="1"/>
  <c r="B79" i="62"/>
  <c r="B75" i="62"/>
  <c r="B59" i="62"/>
  <c r="B46" i="62" s="1"/>
  <c r="D57" i="62"/>
  <c r="D56" i="62"/>
  <c r="B52" i="62"/>
  <c r="B32" i="62"/>
  <c r="G32" i="62"/>
  <c r="F32" i="62"/>
  <c r="B16" i="62"/>
  <c r="B15" i="62"/>
  <c r="B78" i="62" s="1"/>
  <c r="B79" i="61"/>
  <c r="B75" i="61"/>
  <c r="D57" i="61"/>
  <c r="D56" i="61"/>
  <c r="E50" i="61"/>
  <c r="D49" i="61"/>
  <c r="B32" i="61"/>
  <c r="G32" i="61"/>
  <c r="F32" i="61"/>
  <c r="B16" i="61"/>
  <c r="C68" i="61" s="1"/>
  <c r="B15" i="61"/>
  <c r="B78" i="61" s="1"/>
  <c r="B77" i="61" s="1"/>
  <c r="B79" i="60"/>
  <c r="B75" i="60"/>
  <c r="D65" i="60"/>
  <c r="D57" i="60"/>
  <c r="D56" i="60"/>
  <c r="B52" i="60"/>
  <c r="B46" i="60" s="1"/>
  <c r="B32" i="60"/>
  <c r="G32" i="60"/>
  <c r="F32" i="60"/>
  <c r="B27" i="60"/>
  <c r="B16" i="60"/>
  <c r="C68" i="60" s="1"/>
  <c r="B15" i="60"/>
  <c r="B79" i="59"/>
  <c r="B75" i="59"/>
  <c r="D65" i="59"/>
  <c r="B59" i="59"/>
  <c r="B46" i="59" s="1"/>
  <c r="D57" i="59"/>
  <c r="D56" i="59"/>
  <c r="G32" i="59"/>
  <c r="F32" i="59"/>
  <c r="B32" i="59"/>
  <c r="B16" i="59"/>
  <c r="B15" i="59"/>
  <c r="B78" i="59" s="1"/>
  <c r="B79" i="58"/>
  <c r="B75" i="58"/>
  <c r="B59" i="58"/>
  <c r="B46" i="58" s="1"/>
  <c r="D57" i="58"/>
  <c r="D56" i="58"/>
  <c r="B32" i="58"/>
  <c r="G32" i="58"/>
  <c r="F32" i="58"/>
  <c r="B16" i="58"/>
  <c r="B15" i="58"/>
  <c r="B78" i="58" s="1"/>
  <c r="B79" i="57"/>
  <c r="B75" i="57"/>
  <c r="D65" i="57"/>
  <c r="D57" i="57"/>
  <c r="D56" i="57"/>
  <c r="B52" i="57"/>
  <c r="B46" i="57" s="1"/>
  <c r="G32" i="57"/>
  <c r="F32" i="57"/>
  <c r="B32" i="57"/>
  <c r="B16" i="57"/>
  <c r="B15" i="57"/>
  <c r="B78" i="57" s="1"/>
  <c r="B79" i="56"/>
  <c r="B75" i="56"/>
  <c r="D65" i="56"/>
  <c r="B59" i="56"/>
  <c r="D57" i="56"/>
  <c r="D56" i="56"/>
  <c r="B52" i="56"/>
  <c r="B32" i="56"/>
  <c r="G32" i="56"/>
  <c r="F32" i="56"/>
  <c r="B27" i="56"/>
  <c r="B16" i="56"/>
  <c r="C68" i="56" s="1"/>
  <c r="B15" i="56"/>
  <c r="B78" i="56" s="1"/>
  <c r="B79" i="55"/>
  <c r="B75" i="55"/>
  <c r="B59" i="55"/>
  <c r="D57" i="55"/>
  <c r="D56" i="55"/>
  <c r="B52" i="55"/>
  <c r="B32" i="55"/>
  <c r="G32" i="55"/>
  <c r="F32" i="55"/>
  <c r="B27" i="55"/>
  <c r="B16" i="55"/>
  <c r="B15" i="55"/>
  <c r="C76" i="55" s="1"/>
  <c r="B79" i="54"/>
  <c r="B75" i="54"/>
  <c r="B59" i="54"/>
  <c r="D57" i="54"/>
  <c r="D56" i="54"/>
  <c r="B52" i="54"/>
  <c r="G32" i="54"/>
  <c r="F32" i="54"/>
  <c r="B27" i="54"/>
  <c r="B16" i="54"/>
  <c r="B15" i="54"/>
  <c r="C76" i="54" s="1"/>
  <c r="B79" i="53"/>
  <c r="B75" i="53"/>
  <c r="B59" i="53"/>
  <c r="D57" i="53"/>
  <c r="D56" i="53"/>
  <c r="B32" i="53"/>
  <c r="G32" i="53"/>
  <c r="F32" i="53"/>
  <c r="B27" i="53"/>
  <c r="B16" i="53"/>
  <c r="B15" i="53"/>
  <c r="B79" i="52"/>
  <c r="B75" i="52"/>
  <c r="B59" i="52"/>
  <c r="B46" i="52" s="1"/>
  <c r="D57" i="52"/>
  <c r="D56" i="52"/>
  <c r="B32" i="52"/>
  <c r="G32" i="52"/>
  <c r="F32" i="52"/>
  <c r="B27" i="52"/>
  <c r="B16" i="52"/>
  <c r="B15" i="52"/>
  <c r="B78" i="52" s="1"/>
  <c r="B79" i="51"/>
  <c r="B75" i="51"/>
  <c r="B59" i="51"/>
  <c r="B46" i="51" s="1"/>
  <c r="D57" i="51"/>
  <c r="G32" i="51"/>
  <c r="F32" i="51"/>
  <c r="B16" i="51"/>
  <c r="B15" i="51"/>
  <c r="B78" i="51" s="1"/>
  <c r="B79" i="49"/>
  <c r="B75" i="49"/>
  <c r="B59" i="49"/>
  <c r="B46" i="49" s="1"/>
  <c r="D57" i="49"/>
  <c r="D56" i="49"/>
  <c r="D49" i="49"/>
  <c r="B42" i="49"/>
  <c r="G32" i="49"/>
  <c r="F32" i="49"/>
  <c r="B32" i="49"/>
  <c r="B27" i="49"/>
  <c r="C81" i="49"/>
  <c r="B16" i="49"/>
  <c r="B15" i="49"/>
  <c r="B79" i="48"/>
  <c r="B75" i="48"/>
  <c r="E59" i="48"/>
  <c r="D57" i="48"/>
  <c r="D56" i="48"/>
  <c r="D49" i="48"/>
  <c r="B42" i="48"/>
  <c r="G32" i="48"/>
  <c r="F32" i="48"/>
  <c r="B32" i="48"/>
  <c r="B16" i="48"/>
  <c r="C68" i="48" s="1"/>
  <c r="B15" i="48"/>
  <c r="D80" i="47"/>
  <c r="B59" i="47"/>
  <c r="B46" i="47" s="1"/>
  <c r="E66" i="47" s="1"/>
  <c r="D58" i="47"/>
  <c r="D57" i="47"/>
  <c r="D50" i="47"/>
  <c r="B32" i="47"/>
  <c r="G32" i="47"/>
  <c r="F32" i="47"/>
  <c r="B16" i="47"/>
  <c r="B15" i="47"/>
  <c r="B74" i="46"/>
  <c r="B70" i="46"/>
  <c r="B54" i="46"/>
  <c r="D52" i="46"/>
  <c r="D51" i="46"/>
  <c r="B47" i="46"/>
  <c r="B37" i="46"/>
  <c r="B32" i="46"/>
  <c r="G32" i="46"/>
  <c r="F32" i="46"/>
  <c r="B27" i="46"/>
  <c r="B16" i="46"/>
  <c r="C63" i="46" s="1"/>
  <c r="B15" i="46"/>
  <c r="B79" i="45"/>
  <c r="B75" i="45"/>
  <c r="B59" i="45"/>
  <c r="B46" i="45" s="1"/>
  <c r="E58" i="45" s="1"/>
  <c r="D57" i="45"/>
  <c r="D56" i="45"/>
  <c r="G32" i="45"/>
  <c r="F32" i="45"/>
  <c r="B32" i="45"/>
  <c r="B27" i="45"/>
  <c r="B16" i="45"/>
  <c r="C68" i="45" s="1"/>
  <c r="B15" i="45"/>
  <c r="B79" i="44"/>
  <c r="B75" i="44"/>
  <c r="B59" i="44"/>
  <c r="B46" i="44" s="1"/>
  <c r="D57" i="44"/>
  <c r="D56" i="44"/>
  <c r="D49" i="44"/>
  <c r="E49" i="44" s="1"/>
  <c r="G32" i="44"/>
  <c r="F32" i="44"/>
  <c r="B32" i="44"/>
  <c r="B27" i="44"/>
  <c r="B16" i="44"/>
  <c r="B68" i="44" s="1"/>
  <c r="B15" i="44"/>
  <c r="B79" i="43"/>
  <c r="D57" i="43"/>
  <c r="D56" i="43"/>
  <c r="B46" i="43"/>
  <c r="E60" i="43" s="1"/>
  <c r="B32" i="43"/>
  <c r="G32" i="43"/>
  <c r="F32" i="43"/>
  <c r="B27" i="43"/>
  <c r="B16" i="43"/>
  <c r="B68" i="43" s="1"/>
  <c r="B15" i="43"/>
  <c r="B77" i="42"/>
  <c r="B57" i="42"/>
  <c r="B44" i="42" s="1"/>
  <c r="D55" i="42"/>
  <c r="D54" i="42"/>
  <c r="B32" i="42"/>
  <c r="G32" i="42"/>
  <c r="F32" i="42"/>
  <c r="B27" i="42"/>
  <c r="B16" i="42"/>
  <c r="B66" i="42" s="1"/>
  <c r="B15" i="42"/>
  <c r="B43" i="42" s="1"/>
  <c r="B40" i="42" s="1"/>
  <c r="B75" i="41"/>
  <c r="B55" i="41"/>
  <c r="B42" i="41" s="1"/>
  <c r="D53" i="41"/>
  <c r="D52" i="41"/>
  <c r="B38" i="41"/>
  <c r="B32" i="41"/>
  <c r="G32" i="41"/>
  <c r="F32" i="41"/>
  <c r="B27" i="41"/>
  <c r="B16" i="41"/>
  <c r="B64" i="41" s="1"/>
  <c r="B15" i="41"/>
  <c r="B78" i="40"/>
  <c r="B58" i="40"/>
  <c r="B45" i="40" s="1"/>
  <c r="E60" i="40" s="1"/>
  <c r="D56" i="40"/>
  <c r="D55" i="40"/>
  <c r="G32" i="40"/>
  <c r="F32" i="40"/>
  <c r="B27" i="40"/>
  <c r="B16" i="40"/>
  <c r="B67" i="40" s="1"/>
  <c r="B15" i="40"/>
  <c r="B57" i="39"/>
  <c r="D55" i="39"/>
  <c r="D54" i="39"/>
  <c r="B50" i="39"/>
  <c r="B43" i="39"/>
  <c r="G31" i="39"/>
  <c r="F31" i="39"/>
  <c r="B16" i="39"/>
  <c r="B15" i="39"/>
  <c r="B79" i="38"/>
  <c r="B75" i="38"/>
  <c r="B59" i="38"/>
  <c r="D57" i="38"/>
  <c r="D56" i="38"/>
  <c r="B52" i="38"/>
  <c r="G32" i="38"/>
  <c r="F32" i="38"/>
  <c r="B27" i="38"/>
  <c r="B16" i="38"/>
  <c r="C68" i="38" s="1"/>
  <c r="B15" i="38"/>
  <c r="B73" i="37"/>
  <c r="D63" i="37"/>
  <c r="B57" i="37"/>
  <c r="D55" i="37"/>
  <c r="D54" i="37"/>
  <c r="B50" i="37"/>
  <c r="B40" i="37"/>
  <c r="G32" i="37"/>
  <c r="F32" i="37"/>
  <c r="B32" i="37"/>
  <c r="B16" i="37"/>
  <c r="C66" i="37" s="1"/>
  <c r="B15" i="37"/>
  <c r="B75" i="36"/>
  <c r="B59" i="36"/>
  <c r="B46" i="36" s="1"/>
  <c r="D57" i="36"/>
  <c r="D56" i="36"/>
  <c r="B32" i="36"/>
  <c r="G32" i="36"/>
  <c r="F32" i="36"/>
  <c r="B16" i="36"/>
  <c r="B15" i="36"/>
  <c r="B78" i="35"/>
  <c r="B62" i="35"/>
  <c r="B49" i="35" s="1"/>
  <c r="D60" i="35"/>
  <c r="D59" i="35"/>
  <c r="B32" i="35"/>
  <c r="G32" i="35"/>
  <c r="F32" i="35"/>
  <c r="B16" i="35"/>
  <c r="B71" i="35" s="1"/>
  <c r="B15" i="35"/>
  <c r="B83" i="34"/>
  <c r="B79" i="34"/>
  <c r="D69" i="34"/>
  <c r="B63" i="34"/>
  <c r="D61" i="34"/>
  <c r="D60" i="34"/>
  <c r="G32" i="34"/>
  <c r="F32" i="34"/>
  <c r="B16" i="34"/>
  <c r="B15" i="34"/>
  <c r="B79" i="33"/>
  <c r="B75" i="33"/>
  <c r="D57" i="33"/>
  <c r="D56" i="33"/>
  <c r="B52" i="33"/>
  <c r="B46" i="33" s="1"/>
  <c r="B45" i="33"/>
  <c r="B42" i="33" s="1"/>
  <c r="G32" i="33"/>
  <c r="F32" i="33"/>
  <c r="B32" i="33"/>
  <c r="B16" i="33"/>
  <c r="B15" i="33"/>
  <c r="B78" i="32"/>
  <c r="B74" i="32"/>
  <c r="D56" i="32"/>
  <c r="D55" i="32"/>
  <c r="B45" i="32"/>
  <c r="E57" i="32" s="1"/>
  <c r="G32" i="32"/>
  <c r="F32" i="32"/>
  <c r="B32" i="32"/>
  <c r="B16" i="32"/>
  <c r="C67" i="32" s="1"/>
  <c r="B15" i="32"/>
  <c r="B77" i="32" s="1"/>
  <c r="B79" i="31"/>
  <c r="B75" i="31"/>
  <c r="D65" i="31"/>
  <c r="B59" i="31"/>
  <c r="B46" i="31" s="1"/>
  <c r="E59" i="31" s="1"/>
  <c r="D57" i="31"/>
  <c r="D56" i="31"/>
  <c r="G32" i="31"/>
  <c r="F32" i="31"/>
  <c r="B32" i="31"/>
  <c r="B16" i="31"/>
  <c r="B15" i="31"/>
  <c r="B78" i="31" s="1"/>
  <c r="B79" i="30"/>
  <c r="B75" i="30"/>
  <c r="B59" i="30"/>
  <c r="B46" i="30" s="1"/>
  <c r="E57" i="30" s="1"/>
  <c r="D57" i="30"/>
  <c r="G32" i="30"/>
  <c r="F32" i="30"/>
  <c r="B32" i="30"/>
  <c r="B16" i="30"/>
  <c r="B15" i="30"/>
  <c r="B78" i="30" s="1"/>
  <c r="B79" i="29"/>
  <c r="B75" i="29"/>
  <c r="B59" i="29"/>
  <c r="D57" i="29"/>
  <c r="D56" i="29"/>
  <c r="B32" i="29"/>
  <c r="G32" i="29"/>
  <c r="F32" i="29"/>
  <c r="B16" i="29"/>
  <c r="B15" i="29"/>
  <c r="B79" i="28"/>
  <c r="B75" i="28"/>
  <c r="B59" i="28"/>
  <c r="B46" i="28" s="1"/>
  <c r="E59" i="28" s="1"/>
  <c r="D57" i="28"/>
  <c r="D56" i="28"/>
  <c r="B42" i="28"/>
  <c r="G32" i="28"/>
  <c r="F32" i="28"/>
  <c r="B32" i="28"/>
  <c r="B16" i="28"/>
  <c r="B15" i="28"/>
  <c r="B79" i="27"/>
  <c r="B75" i="27"/>
  <c r="B59" i="27"/>
  <c r="B46" i="27" s="1"/>
  <c r="D57" i="27"/>
  <c r="D56" i="27"/>
  <c r="G32" i="27"/>
  <c r="F32" i="27"/>
  <c r="B32" i="27"/>
  <c r="B16" i="27"/>
  <c r="B15" i="27"/>
  <c r="B79" i="26"/>
  <c r="B75" i="26"/>
  <c r="B59" i="26"/>
  <c r="B46" i="26" s="1"/>
  <c r="E56" i="26" s="1"/>
  <c r="D57" i="26"/>
  <c r="D56" i="26"/>
  <c r="G32" i="26"/>
  <c r="F32" i="26"/>
  <c r="B32" i="26"/>
  <c r="B16" i="26"/>
  <c r="B15" i="26"/>
  <c r="B78" i="26" s="1"/>
  <c r="B75" i="25"/>
  <c r="B59" i="25"/>
  <c r="D57" i="25"/>
  <c r="D56" i="25"/>
  <c r="B52" i="25"/>
  <c r="G32" i="25"/>
  <c r="F32" i="25"/>
  <c r="B32" i="25"/>
  <c r="B16" i="25"/>
  <c r="B15" i="25"/>
  <c r="B78" i="25" s="1"/>
  <c r="B75" i="24"/>
  <c r="D57" i="24"/>
  <c r="D56" i="24"/>
  <c r="B52" i="24"/>
  <c r="B46" i="24" s="1"/>
  <c r="E59" i="24" s="1"/>
  <c r="G32" i="24"/>
  <c r="F32" i="24"/>
  <c r="B32" i="24"/>
  <c r="B16" i="24"/>
  <c r="B15" i="24"/>
  <c r="B78" i="24" s="1"/>
  <c r="B75" i="23"/>
  <c r="B59" i="23"/>
  <c r="D57" i="23"/>
  <c r="D56" i="23"/>
  <c r="B52" i="23"/>
  <c r="G32" i="23"/>
  <c r="F32" i="23"/>
  <c r="B32" i="23"/>
  <c r="B16" i="23"/>
  <c r="B15" i="23"/>
  <c r="B78" i="23" s="1"/>
  <c r="B79" i="22"/>
  <c r="B75" i="22"/>
  <c r="B59" i="22"/>
  <c r="D57" i="22"/>
  <c r="D56" i="22"/>
  <c r="B52" i="22"/>
  <c r="B32" i="22"/>
  <c r="G32" i="22"/>
  <c r="F32" i="22"/>
  <c r="B16" i="22"/>
  <c r="B15" i="22"/>
  <c r="B79" i="21"/>
  <c r="B75" i="21"/>
  <c r="B59" i="21"/>
  <c r="D57" i="21"/>
  <c r="D56" i="21"/>
  <c r="B52" i="21"/>
  <c r="G32" i="21"/>
  <c r="F32" i="21"/>
  <c r="B32" i="21"/>
  <c r="B27" i="21"/>
  <c r="B16" i="21"/>
  <c r="B15" i="21"/>
  <c r="B78" i="21" s="1"/>
  <c r="B78" i="20"/>
  <c r="B74" i="20"/>
  <c r="D57" i="20"/>
  <c r="D56" i="20"/>
  <c r="B42" i="20"/>
  <c r="G32" i="20"/>
  <c r="F32" i="20"/>
  <c r="B32" i="20"/>
  <c r="B80" i="20"/>
  <c r="B17" i="20"/>
  <c r="B16" i="20"/>
  <c r="C68" i="20" s="1"/>
  <c r="B15" i="20"/>
  <c r="B79" i="19"/>
  <c r="B75" i="19"/>
  <c r="D57" i="19"/>
  <c r="D56" i="19"/>
  <c r="B46" i="19"/>
  <c r="B42" i="19"/>
  <c r="G32" i="19"/>
  <c r="F32" i="19"/>
  <c r="B32" i="19"/>
  <c r="B27" i="19"/>
  <c r="B81" i="19"/>
  <c r="B16" i="19"/>
  <c r="B15" i="19"/>
  <c r="B68" i="18"/>
  <c r="B66" i="18"/>
  <c r="B65" i="18"/>
  <c r="B63" i="18"/>
  <c r="B62" i="18" s="1"/>
  <c r="B61" i="18"/>
  <c r="B60" i="18"/>
  <c r="B56" i="18"/>
  <c r="D49" i="18"/>
  <c r="B46" i="18"/>
  <c r="B42" i="18"/>
  <c r="G32" i="18"/>
  <c r="F32" i="18"/>
  <c r="B32" i="18"/>
  <c r="B16" i="18"/>
  <c r="B15" i="18"/>
  <c r="B66" i="17"/>
  <c r="B62" i="17"/>
  <c r="B46" i="17"/>
  <c r="B42" i="17"/>
  <c r="E44" i="17"/>
  <c r="E43" i="17"/>
  <c r="E35" i="17"/>
  <c r="E34" i="17"/>
  <c r="G32" i="17"/>
  <c r="F32" i="17"/>
  <c r="B32" i="17"/>
  <c r="B16" i="17"/>
  <c r="C55" i="17" s="1"/>
  <c r="B15" i="17"/>
  <c r="B79" i="16"/>
  <c r="B75" i="16"/>
  <c r="D57" i="16"/>
  <c r="D56" i="16"/>
  <c r="D49" i="16"/>
  <c r="B42" i="16"/>
  <c r="G32" i="16"/>
  <c r="F32" i="16"/>
  <c r="B32" i="16"/>
  <c r="B16" i="16"/>
  <c r="C68" i="16" s="1"/>
  <c r="B15" i="16"/>
  <c r="B67" i="15"/>
  <c r="B65" i="15" s="1"/>
  <c r="B63" i="15"/>
  <c r="B42" i="15"/>
  <c r="G32" i="15"/>
  <c r="F32" i="15"/>
  <c r="B32" i="15"/>
  <c r="B17" i="15"/>
  <c r="B16" i="15"/>
  <c r="B15" i="15"/>
  <c r="B71" i="14"/>
  <c r="B67" i="14"/>
  <c r="B46" i="14"/>
  <c r="B42" i="14"/>
  <c r="B32" i="14"/>
  <c r="G32" i="14"/>
  <c r="F32" i="14"/>
  <c r="B27" i="14"/>
  <c r="B73" i="14"/>
  <c r="B16" i="14"/>
  <c r="B15" i="14"/>
  <c r="B79" i="13"/>
  <c r="B75" i="13"/>
  <c r="B59" i="13"/>
  <c r="D57" i="13"/>
  <c r="D56" i="13"/>
  <c r="B52" i="13"/>
  <c r="B32" i="13"/>
  <c r="G32" i="13"/>
  <c r="F32" i="13"/>
  <c r="B27" i="13"/>
  <c r="B17" i="13"/>
  <c r="B16" i="13"/>
  <c r="C68" i="13" s="1"/>
  <c r="B15" i="13"/>
  <c r="B77" i="12"/>
  <c r="B73" i="12"/>
  <c r="D56" i="12"/>
  <c r="D55" i="12"/>
  <c r="B46" i="12"/>
  <c r="B42" i="12"/>
  <c r="B32" i="12"/>
  <c r="G32" i="12"/>
  <c r="F32" i="12"/>
  <c r="B27" i="12"/>
  <c r="C79" i="12"/>
  <c r="B16" i="12"/>
  <c r="B15" i="12"/>
  <c r="B78" i="11"/>
  <c r="B74" i="11"/>
  <c r="D57" i="11"/>
  <c r="D56" i="11"/>
  <c r="B46" i="11"/>
  <c r="B42" i="11"/>
  <c r="B32" i="11"/>
  <c r="G32" i="11"/>
  <c r="F32" i="11"/>
  <c r="B27" i="11"/>
  <c r="B16" i="11"/>
  <c r="B15" i="11"/>
  <c r="B75" i="10"/>
  <c r="D57" i="10"/>
  <c r="D56" i="10"/>
  <c r="B32" i="10"/>
  <c r="G32" i="10"/>
  <c r="F32" i="10"/>
  <c r="B16" i="10"/>
  <c r="B15" i="10"/>
  <c r="B79" i="9"/>
  <c r="B77" i="9" s="1"/>
  <c r="B75" i="9"/>
  <c r="D57" i="9"/>
  <c r="D56" i="9"/>
  <c r="B32" i="9"/>
  <c r="G32" i="9"/>
  <c r="F32" i="9"/>
  <c r="B27" i="9"/>
  <c r="B17" i="9"/>
  <c r="B16" i="9"/>
  <c r="C68" i="9" s="1"/>
  <c r="B15" i="9"/>
  <c r="B79" i="8"/>
  <c r="B75" i="8"/>
  <c r="D65" i="8"/>
  <c r="D57" i="8"/>
  <c r="D56" i="8"/>
  <c r="B52" i="8"/>
  <c r="G32" i="8"/>
  <c r="F32" i="8"/>
  <c r="B27" i="8"/>
  <c r="B16" i="8"/>
  <c r="C68" i="8" s="1"/>
  <c r="B15" i="8"/>
  <c r="B74" i="7"/>
  <c r="D64" i="7"/>
  <c r="B58" i="7"/>
  <c r="D56" i="7"/>
  <c r="D55" i="7"/>
  <c r="B51" i="7"/>
  <c r="B32" i="7"/>
  <c r="G32" i="7"/>
  <c r="F32" i="7"/>
  <c r="B16" i="7"/>
  <c r="C67" i="7" s="1"/>
  <c r="B15" i="7"/>
  <c r="B79" i="6"/>
  <c r="B75" i="6"/>
  <c r="D65" i="6"/>
  <c r="B59" i="6"/>
  <c r="D57" i="6"/>
  <c r="D56" i="6"/>
  <c r="B52" i="6"/>
  <c r="G32" i="6"/>
  <c r="F32" i="6"/>
  <c r="B32" i="6"/>
  <c r="B16" i="6"/>
  <c r="C68" i="6" s="1"/>
  <c r="B15" i="6"/>
  <c r="B78" i="5"/>
  <c r="B76" i="5" s="1"/>
  <c r="B74" i="5"/>
  <c r="D57" i="5"/>
  <c r="D56" i="5"/>
  <c r="B46" i="5"/>
  <c r="B42" i="5"/>
  <c r="G32" i="5"/>
  <c r="F32" i="5"/>
  <c r="B32" i="5"/>
  <c r="B27" i="5"/>
  <c r="B16" i="5"/>
  <c r="B15" i="5"/>
  <c r="B78" i="4"/>
  <c r="B76" i="4" s="1"/>
  <c r="B74" i="4"/>
  <c r="D56" i="4"/>
  <c r="D55" i="4"/>
  <c r="B45" i="4"/>
  <c r="G32" i="4"/>
  <c r="F32" i="4"/>
  <c r="B27" i="4"/>
  <c r="B16" i="4"/>
  <c r="B15" i="4"/>
  <c r="B71" i="4" s="1"/>
  <c r="B77" i="3"/>
  <c r="B75" i="3"/>
  <c r="D57" i="3"/>
  <c r="D56" i="3"/>
  <c r="B46" i="3"/>
  <c r="B42" i="3"/>
  <c r="G32" i="3"/>
  <c r="F32" i="3"/>
  <c r="B32" i="3"/>
  <c r="B27" i="3"/>
  <c r="B16" i="3"/>
  <c r="B15" i="3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B46" i="29"/>
  <c r="E59" i="29" s="1"/>
  <c r="B46" i="10"/>
  <c r="B46" i="20"/>
  <c r="B45" i="71"/>
  <c r="B42" i="71" s="1"/>
  <c r="B32" i="38"/>
  <c r="B46" i="38"/>
  <c r="E59" i="38" s="1"/>
  <c r="B31" i="39"/>
  <c r="B31" i="40"/>
  <c r="B46" i="61"/>
  <c r="B46" i="65"/>
  <c r="B45" i="52"/>
  <c r="B42" i="52" s="1"/>
  <c r="B89" i="31"/>
  <c r="B45" i="22"/>
  <c r="B42" i="22" s="1"/>
  <c r="B46" i="78" l="1"/>
  <c r="F54" i="78" s="1"/>
  <c r="B45" i="7"/>
  <c r="B46" i="21"/>
  <c r="E53" i="21" s="1"/>
  <c r="B46" i="22"/>
  <c r="E58" i="22" s="1"/>
  <c r="B77" i="19"/>
  <c r="B69" i="14"/>
  <c r="B46" i="80"/>
  <c r="F51" i="80" s="1"/>
  <c r="B46" i="72"/>
  <c r="B46" i="66"/>
  <c r="B58" i="18"/>
  <c r="C63" i="18"/>
  <c r="B78" i="22"/>
  <c r="B77" i="22" s="1"/>
  <c r="B46" i="56"/>
  <c r="B78" i="48"/>
  <c r="B77" i="48" s="1"/>
  <c r="C76" i="48"/>
  <c r="B78" i="53"/>
  <c r="B77" i="53" s="1"/>
  <c r="C76" i="53"/>
  <c r="B72" i="8"/>
  <c r="B71" i="8"/>
  <c r="B77" i="29"/>
  <c r="B70" i="29"/>
  <c r="B71" i="29"/>
  <c r="B72" i="29"/>
  <c r="B45" i="29"/>
  <c r="B42" i="29" s="1"/>
  <c r="B71" i="31"/>
  <c r="B70" i="31"/>
  <c r="B72" i="31"/>
  <c r="B45" i="31"/>
  <c r="B42" i="31" s="1"/>
  <c r="B49" i="34"/>
  <c r="B46" i="34" s="1"/>
  <c r="B75" i="34"/>
  <c r="B76" i="34"/>
  <c r="B82" i="34"/>
  <c r="B81" i="34" s="1"/>
  <c r="B74" i="34"/>
  <c r="B70" i="58"/>
  <c r="B71" i="58"/>
  <c r="B72" i="58"/>
  <c r="B45" i="58"/>
  <c r="B42" i="58" s="1"/>
  <c r="B70" i="30"/>
  <c r="B72" i="30"/>
  <c r="B71" i="30"/>
  <c r="B45" i="30"/>
  <c r="B42" i="30" s="1"/>
  <c r="B71" i="38"/>
  <c r="B72" i="38"/>
  <c r="B78" i="38"/>
  <c r="B77" i="38" s="1"/>
  <c r="B70" i="38"/>
  <c r="B72" i="43"/>
  <c r="B71" i="43"/>
  <c r="B70" i="43"/>
  <c r="B78" i="43"/>
  <c r="B76" i="43"/>
  <c r="B75" i="43" s="1"/>
  <c r="B70" i="51"/>
  <c r="B72" i="51"/>
  <c r="B71" i="51"/>
  <c r="B45" i="51"/>
  <c r="B42" i="51" s="1"/>
  <c r="B70" i="52"/>
  <c r="B72" i="52"/>
  <c r="B71" i="52"/>
  <c r="B70" i="59"/>
  <c r="B72" i="59"/>
  <c r="B71" i="59"/>
  <c r="B66" i="59" s="1"/>
  <c r="B45" i="59"/>
  <c r="B42" i="59" s="1"/>
  <c r="B45" i="79"/>
  <c r="B42" i="79" s="1"/>
  <c r="B71" i="79"/>
  <c r="B72" i="79"/>
  <c r="B77" i="55"/>
  <c r="B71" i="32"/>
  <c r="B70" i="32"/>
  <c r="B69" i="32"/>
  <c r="B74" i="49"/>
  <c r="B72" i="49"/>
  <c r="B78" i="49"/>
  <c r="B77" i="49" s="1"/>
  <c r="B70" i="49"/>
  <c r="B71" i="49"/>
  <c r="B72" i="73"/>
  <c r="B71" i="73"/>
  <c r="B70" i="73"/>
  <c r="B77" i="26"/>
  <c r="B71" i="33"/>
  <c r="B70" i="33"/>
  <c r="B78" i="33"/>
  <c r="B72" i="33"/>
  <c r="B70" i="37"/>
  <c r="B68" i="37"/>
  <c r="B69" i="37"/>
  <c r="C74" i="37"/>
  <c r="B72" i="47"/>
  <c r="B71" i="47"/>
  <c r="B72" i="53"/>
  <c r="B71" i="53"/>
  <c r="B70" i="53"/>
  <c r="B45" i="53"/>
  <c r="B78" i="72"/>
  <c r="B77" i="72" s="1"/>
  <c r="B72" i="72"/>
  <c r="B71" i="72"/>
  <c r="B64" i="18"/>
  <c r="B71" i="3"/>
  <c r="B72" i="3"/>
  <c r="B76" i="20"/>
  <c r="B74" i="42"/>
  <c r="B73" i="42" s="1"/>
  <c r="B70" i="42"/>
  <c r="B69" i="42"/>
  <c r="B68" i="42"/>
  <c r="B72" i="42"/>
  <c r="B76" i="42"/>
  <c r="B75" i="42" s="1"/>
  <c r="B70" i="54"/>
  <c r="B72" i="54"/>
  <c r="B71" i="54"/>
  <c r="B45" i="54"/>
  <c r="B42" i="54" s="1"/>
  <c r="B45" i="60"/>
  <c r="B42" i="60" s="1"/>
  <c r="B70" i="60"/>
  <c r="B72" i="60"/>
  <c r="B71" i="60"/>
  <c r="E61" i="44"/>
  <c r="B71" i="7"/>
  <c r="B70" i="7"/>
  <c r="B58" i="15"/>
  <c r="B60" i="15"/>
  <c r="B59" i="15"/>
  <c r="B77" i="16"/>
  <c r="B77" i="21"/>
  <c r="B71" i="21"/>
  <c r="B70" i="21"/>
  <c r="B72" i="21"/>
  <c r="B45" i="21"/>
  <c r="B42" i="21" s="1"/>
  <c r="E64" i="35"/>
  <c r="B44" i="39"/>
  <c r="E55" i="39" s="1"/>
  <c r="B67" i="46"/>
  <c r="B66" i="46"/>
  <c r="B72" i="55"/>
  <c r="B70" i="55"/>
  <c r="B71" i="55"/>
  <c r="B45" i="55"/>
  <c r="B42" i="55" s="1"/>
  <c r="B70" i="71"/>
  <c r="B72" i="71"/>
  <c r="B78" i="71"/>
  <c r="B77" i="71" s="1"/>
  <c r="B71" i="71"/>
  <c r="B72" i="10"/>
  <c r="B71" i="10"/>
  <c r="B70" i="16"/>
  <c r="B72" i="16"/>
  <c r="B71" i="16"/>
  <c r="B72" i="41"/>
  <c r="B71" i="41" s="1"/>
  <c r="B70" i="41"/>
  <c r="B74" i="41"/>
  <c r="B73" i="41" s="1"/>
  <c r="B67" i="41"/>
  <c r="B66" i="41"/>
  <c r="B68" i="41"/>
  <c r="B71" i="78"/>
  <c r="B72" i="78"/>
  <c r="B78" i="81"/>
  <c r="B77" i="81" s="1"/>
  <c r="B70" i="81"/>
  <c r="B76" i="81"/>
  <c r="B75" i="81" s="1"/>
  <c r="B74" i="81"/>
  <c r="B72" i="81"/>
  <c r="B71" i="81"/>
  <c r="B74" i="83"/>
  <c r="B73" i="83" s="1"/>
  <c r="B67" i="83"/>
  <c r="B70" i="83"/>
  <c r="B68" i="83"/>
  <c r="B66" i="83"/>
  <c r="B77" i="52"/>
  <c r="B45" i="73"/>
  <c r="B42" i="73" s="1"/>
  <c r="B45" i="61"/>
  <c r="B71" i="61"/>
  <c r="B72" i="61"/>
  <c r="B70" i="61"/>
  <c r="B70" i="70"/>
  <c r="B72" i="70"/>
  <c r="B71" i="70"/>
  <c r="B78" i="70"/>
  <c r="B77" i="70" s="1"/>
  <c r="B50" i="85"/>
  <c r="B51" i="85"/>
  <c r="B52" i="85"/>
  <c r="B45" i="6"/>
  <c r="B42" i="6" s="1"/>
  <c r="B72" i="6"/>
  <c r="B71" i="6"/>
  <c r="B77" i="13"/>
  <c r="B71" i="13"/>
  <c r="B70" i="13"/>
  <c r="B72" i="13"/>
  <c r="B62" i="14"/>
  <c r="B63" i="14"/>
  <c r="B64" i="14"/>
  <c r="B57" i="17"/>
  <c r="B59" i="17"/>
  <c r="B58" i="17"/>
  <c r="C75" i="20"/>
  <c r="B70" i="20"/>
  <c r="B71" i="20"/>
  <c r="B71" i="22"/>
  <c r="B72" i="22"/>
  <c r="B70" i="22"/>
  <c r="B72" i="36"/>
  <c r="B71" i="36"/>
  <c r="B78" i="36"/>
  <c r="B70" i="36"/>
  <c r="B45" i="62"/>
  <c r="B42" i="62" s="1"/>
  <c r="B71" i="62"/>
  <c r="B70" i="62"/>
  <c r="B72" i="62"/>
  <c r="B71" i="69"/>
  <c r="B72" i="69"/>
  <c r="B78" i="69"/>
  <c r="B77" i="69" s="1"/>
  <c r="B70" i="69"/>
  <c r="B77" i="59"/>
  <c r="B45" i="72"/>
  <c r="B42" i="72" s="1"/>
  <c r="B70" i="11"/>
  <c r="B71" i="11"/>
  <c r="B77" i="27"/>
  <c r="B72" i="27"/>
  <c r="B71" i="27"/>
  <c r="B70" i="27"/>
  <c r="C68" i="19"/>
  <c r="B70" i="19"/>
  <c r="B72" i="19"/>
  <c r="B71" i="19"/>
  <c r="B70" i="56"/>
  <c r="B72" i="56"/>
  <c r="B71" i="56"/>
  <c r="B45" i="56"/>
  <c r="B42" i="56" s="1"/>
  <c r="B77" i="63"/>
  <c r="B71" i="63"/>
  <c r="B70" i="63"/>
  <c r="B72" i="63"/>
  <c r="B45" i="70"/>
  <c r="B42" i="70" s="1"/>
  <c r="B69" i="5"/>
  <c r="B70" i="5"/>
  <c r="B71" i="5"/>
  <c r="B68" i="12"/>
  <c r="B69" i="12"/>
  <c r="B70" i="12"/>
  <c r="B70" i="23"/>
  <c r="B72" i="23"/>
  <c r="B71" i="23"/>
  <c r="B45" i="23"/>
  <c r="B42" i="23" s="1"/>
  <c r="B71" i="25"/>
  <c r="B70" i="25"/>
  <c r="B72" i="25"/>
  <c r="B45" i="25"/>
  <c r="B42" i="25" s="1"/>
  <c r="B77" i="40"/>
  <c r="B76" i="40" s="1"/>
  <c r="B71" i="40"/>
  <c r="B75" i="40"/>
  <c r="B74" i="40" s="1"/>
  <c r="B70" i="40"/>
  <c r="B69" i="40"/>
  <c r="B73" i="40"/>
  <c r="B72" i="45"/>
  <c r="B71" i="45"/>
  <c r="B70" i="68"/>
  <c r="B72" i="68"/>
  <c r="B66" i="68" s="1"/>
  <c r="B71" i="68"/>
  <c r="B78" i="68"/>
  <c r="B77" i="68" s="1"/>
  <c r="B45" i="68"/>
  <c r="B42" i="68" s="1"/>
  <c r="B72" i="9"/>
  <c r="B71" i="9"/>
  <c r="B72" i="24"/>
  <c r="B71" i="24"/>
  <c r="B70" i="24"/>
  <c r="B45" i="24"/>
  <c r="B42" i="24" s="1"/>
  <c r="B72" i="64"/>
  <c r="B71" i="64"/>
  <c r="B70" i="64"/>
  <c r="B78" i="67"/>
  <c r="B77" i="67" s="1"/>
  <c r="B70" i="67"/>
  <c r="B72" i="67"/>
  <c r="B71" i="67"/>
  <c r="B72" i="77"/>
  <c r="C72" i="77" s="1"/>
  <c r="B71" i="77"/>
  <c r="C71" i="77" s="1"/>
  <c r="B45" i="43"/>
  <c r="B42" i="43" s="1"/>
  <c r="B45" i="67"/>
  <c r="B42" i="67" s="1"/>
  <c r="B48" i="35"/>
  <c r="B45" i="35" s="1"/>
  <c r="B74" i="35"/>
  <c r="B73" i="35"/>
  <c r="B81" i="35"/>
  <c r="B80" i="35" s="1"/>
  <c r="B75" i="35"/>
  <c r="B77" i="57"/>
  <c r="B72" i="66"/>
  <c r="B70" i="66"/>
  <c r="B78" i="66"/>
  <c r="B77" i="66" s="1"/>
  <c r="B71" i="66"/>
  <c r="B45" i="64"/>
  <c r="B42" i="64" s="1"/>
  <c r="B70" i="26"/>
  <c r="B72" i="26"/>
  <c r="B71" i="26"/>
  <c r="B45" i="26"/>
  <c r="B42" i="26" s="1"/>
  <c r="B41" i="46"/>
  <c r="F68" i="46" s="1"/>
  <c r="B71" i="57"/>
  <c r="B70" i="57"/>
  <c r="B66" i="57" s="1"/>
  <c r="B72" i="57"/>
  <c r="B45" i="57"/>
  <c r="B42" i="57" s="1"/>
  <c r="B71" i="75"/>
  <c r="B78" i="75"/>
  <c r="B77" i="75" s="1"/>
  <c r="B70" i="75"/>
  <c r="B72" i="75"/>
  <c r="B70" i="80"/>
  <c r="D70" i="80" s="1"/>
  <c r="B72" i="80"/>
  <c r="B71" i="80"/>
  <c r="B44" i="40"/>
  <c r="B41" i="40" s="1"/>
  <c r="B70" i="39"/>
  <c r="B68" i="39"/>
  <c r="B69" i="39"/>
  <c r="B74" i="39"/>
  <c r="B73" i="39" s="1"/>
  <c r="B76" i="39"/>
  <c r="B75" i="39" s="1"/>
  <c r="B72" i="44"/>
  <c r="B71" i="44"/>
  <c r="B78" i="65"/>
  <c r="B77" i="65" s="1"/>
  <c r="B70" i="65"/>
  <c r="B72" i="65"/>
  <c r="B71" i="65"/>
  <c r="B72" i="28"/>
  <c r="B70" i="28"/>
  <c r="B71" i="28"/>
  <c r="B71" i="48"/>
  <c r="B70" i="48"/>
  <c r="B72" i="48"/>
  <c r="B70" i="74"/>
  <c r="B71" i="74"/>
  <c r="B78" i="74"/>
  <c r="B77" i="74" s="1"/>
  <c r="B72" i="74"/>
  <c r="B45" i="45"/>
  <c r="B42" i="45" s="1"/>
  <c r="B75" i="12"/>
  <c r="B76" i="11"/>
  <c r="B64" i="17"/>
  <c r="B46" i="67"/>
  <c r="B73" i="46"/>
  <c r="B72" i="46" s="1"/>
  <c r="B69" i="46"/>
  <c r="B65" i="46"/>
  <c r="B77" i="28"/>
  <c r="B45" i="8"/>
  <c r="B42" i="8" s="1"/>
  <c r="B70" i="8"/>
  <c r="E25" i="8"/>
  <c r="B78" i="8"/>
  <c r="B77" i="8" s="1"/>
  <c r="B69" i="11"/>
  <c r="E25" i="11"/>
  <c r="B45" i="65"/>
  <c r="B42" i="65" s="1"/>
  <c r="B70" i="77"/>
  <c r="B78" i="77"/>
  <c r="B77" i="77" s="1"/>
  <c r="C76" i="77"/>
  <c r="B45" i="13"/>
  <c r="B42" i="13" s="1"/>
  <c r="C74" i="77"/>
  <c r="C73" i="77"/>
  <c r="B45" i="27"/>
  <c r="B42" i="27" s="1"/>
  <c r="B77" i="64"/>
  <c r="B77" i="51"/>
  <c r="B46" i="69"/>
  <c r="E25" i="44"/>
  <c r="B74" i="44"/>
  <c r="B70" i="44"/>
  <c r="B78" i="44"/>
  <c r="B77" i="44" s="1"/>
  <c r="B45" i="44"/>
  <c r="B42" i="44" s="1"/>
  <c r="E25" i="9"/>
  <c r="B70" i="9"/>
  <c r="B78" i="78"/>
  <c r="B77" i="78" s="1"/>
  <c r="B45" i="69"/>
  <c r="B42" i="69" s="1"/>
  <c r="B77" i="43"/>
  <c r="B76" i="32"/>
  <c r="B78" i="45"/>
  <c r="B77" i="45" s="1"/>
  <c r="B70" i="45"/>
  <c r="C76" i="45"/>
  <c r="B74" i="45"/>
  <c r="E23" i="45"/>
  <c r="B78" i="79"/>
  <c r="B77" i="79" s="1"/>
  <c r="E25" i="79"/>
  <c r="B78" i="10"/>
  <c r="B77" i="10" s="1"/>
  <c r="E25" i="10"/>
  <c r="C68" i="10"/>
  <c r="B77" i="33"/>
  <c r="E57" i="27"/>
  <c r="E54" i="42"/>
  <c r="B68" i="47"/>
  <c r="B70" i="47"/>
  <c r="B45" i="47"/>
  <c r="B42" i="47" s="1"/>
  <c r="B78" i="47"/>
  <c r="B77" i="47" s="1"/>
  <c r="B45" i="9"/>
  <c r="B42" i="9" s="1"/>
  <c r="B46" i="9"/>
  <c r="B45" i="10"/>
  <c r="B42" i="10" s="1"/>
  <c r="B45" i="66"/>
  <c r="B42" i="66" s="1"/>
  <c r="B77" i="7"/>
  <c r="B76" i="7" s="1"/>
  <c r="E25" i="7"/>
  <c r="B69" i="7"/>
  <c r="B65" i="7" s="1"/>
  <c r="B46" i="8"/>
  <c r="B46" i="13"/>
  <c r="B45" i="78"/>
  <c r="B42" i="78" s="1"/>
  <c r="B45" i="75"/>
  <c r="B42" i="75" s="1"/>
  <c r="B44" i="7"/>
  <c r="B41" i="7" s="1"/>
  <c r="B45" i="74"/>
  <c r="B42" i="74" s="1"/>
  <c r="B44" i="32"/>
  <c r="B41" i="32" s="1"/>
  <c r="B46" i="55"/>
  <c r="B46" i="64"/>
  <c r="B78" i="6"/>
  <c r="B77" i="6" s="1"/>
  <c r="B70" i="6"/>
  <c r="B46" i="6"/>
  <c r="E25" i="3"/>
  <c r="B70" i="3"/>
  <c r="E25" i="4"/>
  <c r="B69" i="4"/>
  <c r="B65" i="4" s="1"/>
  <c r="B81" i="4" s="1"/>
  <c r="E30" i="80"/>
  <c r="B78" i="80"/>
  <c r="B77" i="80" s="1"/>
  <c r="B45" i="80"/>
  <c r="B42" i="80" s="1"/>
  <c r="E25" i="80"/>
  <c r="B46" i="23"/>
  <c r="E57" i="23" s="1"/>
  <c r="B46" i="25"/>
  <c r="E61" i="25" s="1"/>
  <c r="B66" i="55"/>
  <c r="B77" i="58"/>
  <c r="B42" i="83"/>
  <c r="E55" i="83" s="1"/>
  <c r="B46" i="53"/>
  <c r="E58" i="36"/>
  <c r="B46" i="54"/>
  <c r="B50" i="34"/>
  <c r="E62" i="34" s="1"/>
  <c r="E55" i="41"/>
  <c r="B77" i="30"/>
  <c r="E60" i="33"/>
  <c r="B75" i="37"/>
  <c r="B46" i="63"/>
  <c r="B77" i="23"/>
  <c r="B42" i="61"/>
  <c r="B77" i="24"/>
  <c r="B77" i="36"/>
  <c r="B44" i="37"/>
  <c r="B42" i="53"/>
  <c r="B42" i="77"/>
  <c r="B77" i="31"/>
  <c r="B55" i="18"/>
  <c r="B69" i="18" s="1"/>
  <c r="B78" i="54"/>
  <c r="B77" i="54" s="1"/>
  <c r="B77" i="62"/>
  <c r="B77" i="25"/>
  <c r="B66" i="30"/>
  <c r="B40" i="39"/>
  <c r="B32" i="81"/>
  <c r="B77" i="60"/>
  <c r="B45" i="63"/>
  <c r="B42" i="63" s="1"/>
  <c r="B77" i="56"/>
  <c r="B46" i="79"/>
  <c r="B66" i="22" l="1"/>
  <c r="B70" i="34"/>
  <c r="B66" i="21"/>
  <c r="B66" i="53"/>
  <c r="B64" i="42"/>
  <c r="B66" i="64"/>
  <c r="B64" i="12"/>
  <c r="B66" i="51"/>
  <c r="B62" i="41"/>
  <c r="B78" i="41" s="1"/>
  <c r="B66" i="24"/>
  <c r="B66" i="56"/>
  <c r="B82" i="56" s="1"/>
  <c r="B83" i="56" s="1"/>
  <c r="B84" i="56" s="1"/>
  <c r="B66" i="48"/>
  <c r="B82" i="48" s="1"/>
  <c r="B83" i="48" s="1"/>
  <c r="B84" i="48" s="1"/>
  <c r="B64" i="39"/>
  <c r="B80" i="39" s="1"/>
  <c r="B81" i="39" s="1"/>
  <c r="B82" i="39" s="1"/>
  <c r="B66" i="69"/>
  <c r="B66" i="20"/>
  <c r="B81" i="20" s="1"/>
  <c r="B82" i="20" s="1"/>
  <c r="B83" i="20" s="1"/>
  <c r="B65" i="32"/>
  <c r="B81" i="32" s="1"/>
  <c r="B82" i="32" s="1"/>
  <c r="B83" i="32" s="1"/>
  <c r="B66" i="79"/>
  <c r="B82" i="79" s="1"/>
  <c r="B83" i="79" s="1"/>
  <c r="B84" i="79" s="1"/>
  <c r="B66" i="3"/>
  <c r="B82" i="3" s="1"/>
  <c r="B66" i="78"/>
  <c r="B82" i="78" s="1"/>
  <c r="B83" i="78" s="1"/>
  <c r="B84" i="78" s="1"/>
  <c r="B66" i="47"/>
  <c r="B82" i="47" s="1"/>
  <c r="B83" i="47" s="1"/>
  <c r="B84" i="47" s="1"/>
  <c r="B61" i="46"/>
  <c r="B77" i="46" s="1"/>
  <c r="B78" i="46" s="1"/>
  <c r="B79" i="46" s="1"/>
  <c r="B66" i="45"/>
  <c r="B82" i="45" s="1"/>
  <c r="B83" i="45" s="1"/>
  <c r="B84" i="45" s="1"/>
  <c r="B85" i="45" s="1"/>
  <c r="B86" i="45" s="1"/>
  <c r="B66" i="44"/>
  <c r="B82" i="44" s="1"/>
  <c r="B83" i="44" s="1"/>
  <c r="B84" i="44" s="1"/>
  <c r="B66" i="8"/>
  <c r="B82" i="8" s="1"/>
  <c r="B83" i="8" s="1"/>
  <c r="B84" i="8" s="1"/>
  <c r="B66" i="10"/>
  <c r="B82" i="10" s="1"/>
  <c r="B83" i="10" s="1"/>
  <c r="B84" i="10" s="1"/>
  <c r="B65" i="11"/>
  <c r="B81" i="11" s="1"/>
  <c r="B82" i="11" s="1"/>
  <c r="B83" i="11" s="1"/>
  <c r="B58" i="14"/>
  <c r="B74" i="14" s="1"/>
  <c r="B62" i="83"/>
  <c r="B78" i="83" s="1"/>
  <c r="B79" i="83" s="1"/>
  <c r="B80" i="83" s="1"/>
  <c r="B65" i="40"/>
  <c r="B81" i="40" s="1"/>
  <c r="B82" i="40" s="1"/>
  <c r="B83" i="40" s="1"/>
  <c r="B66" i="38"/>
  <c r="B82" i="38" s="1"/>
  <c r="B66" i="36"/>
  <c r="B82" i="36" s="1"/>
  <c r="B83" i="36" s="1"/>
  <c r="B84" i="36" s="1"/>
  <c r="B66" i="33"/>
  <c r="B66" i="49"/>
  <c r="B82" i="49" s="1"/>
  <c r="B66" i="75"/>
  <c r="B82" i="75" s="1"/>
  <c r="B83" i="75" s="1"/>
  <c r="B84" i="75" s="1"/>
  <c r="B66" i="74"/>
  <c r="B82" i="74" s="1"/>
  <c r="B83" i="74" s="1"/>
  <c r="B84" i="74" s="1"/>
  <c r="B66" i="73"/>
  <c r="B82" i="73" s="1"/>
  <c r="B83" i="73" s="1"/>
  <c r="B84" i="73" s="1"/>
  <c r="B85" i="73" s="1"/>
  <c r="B86" i="73" s="1"/>
  <c r="B66" i="72"/>
  <c r="B82" i="72" s="1"/>
  <c r="B83" i="72" s="1"/>
  <c r="B84" i="72" s="1"/>
  <c r="B66" i="71"/>
  <c r="B82" i="71" s="1"/>
  <c r="B83" i="71" s="1"/>
  <c r="B84" i="71" s="1"/>
  <c r="B85" i="71" s="1"/>
  <c r="B86" i="71" s="1"/>
  <c r="B66" i="70"/>
  <c r="B66" i="66"/>
  <c r="B82" i="66" s="1"/>
  <c r="B83" i="66" s="1"/>
  <c r="B84" i="66" s="1"/>
  <c r="B66" i="67"/>
  <c r="B82" i="67" s="1"/>
  <c r="B83" i="67" s="1"/>
  <c r="B84" i="67" s="1"/>
  <c r="B66" i="65"/>
  <c r="B82" i="65" s="1"/>
  <c r="B83" i="65" s="1"/>
  <c r="B84" i="65" s="1"/>
  <c r="B82" i="64"/>
  <c r="B83" i="64" s="1"/>
  <c r="B84" i="64" s="1"/>
  <c r="B66" i="31"/>
  <c r="B82" i="31" s="1"/>
  <c r="B83" i="31" s="1"/>
  <c r="B84" i="31" s="1"/>
  <c r="B66" i="29"/>
  <c r="B82" i="29" s="1"/>
  <c r="B83" i="29" s="1"/>
  <c r="B84" i="29" s="1"/>
  <c r="B66" i="28"/>
  <c r="B66" i="27"/>
  <c r="B82" i="27" s="1"/>
  <c r="B83" i="27" s="1"/>
  <c r="B84" i="27" s="1"/>
  <c r="B53" i="17"/>
  <c r="B69" i="17" s="1"/>
  <c r="B70" i="17" s="1"/>
  <c r="B71" i="17" s="1"/>
  <c r="B66" i="16"/>
  <c r="B82" i="16" s="1"/>
  <c r="B54" i="15"/>
  <c r="B70" i="15" s="1"/>
  <c r="B71" i="15" s="1"/>
  <c r="B72" i="15" s="1"/>
  <c r="B73" i="15" s="1"/>
  <c r="B74" i="15" s="1"/>
  <c r="B82" i="22"/>
  <c r="B83" i="22" s="1"/>
  <c r="B84" i="22" s="1"/>
  <c r="B85" i="22" s="1"/>
  <c r="B86" i="22" s="1"/>
  <c r="B66" i="54"/>
  <c r="B66" i="52"/>
  <c r="B82" i="52" s="1"/>
  <c r="B83" i="52" s="1"/>
  <c r="B84" i="52" s="1"/>
  <c r="B66" i="23"/>
  <c r="B82" i="23" s="1"/>
  <c r="B83" i="23" s="1"/>
  <c r="B84" i="23" s="1"/>
  <c r="B82" i="59"/>
  <c r="B83" i="59" s="1"/>
  <c r="B84" i="59" s="1"/>
  <c r="B85" i="59" s="1"/>
  <c r="B86" i="59" s="1"/>
  <c r="B82" i="28"/>
  <c r="B83" i="28" s="1"/>
  <c r="B84" i="28" s="1"/>
  <c r="B85" i="28" s="1"/>
  <c r="B86" i="28" s="1"/>
  <c r="B65" i="5"/>
  <c r="B81" i="5" s="1"/>
  <c r="B82" i="5" s="1"/>
  <c r="B83" i="5" s="1"/>
  <c r="B66" i="13"/>
  <c r="B82" i="13" s="1"/>
  <c r="B83" i="13" s="1"/>
  <c r="B84" i="13" s="1"/>
  <c r="B82" i="33"/>
  <c r="B83" i="33" s="1"/>
  <c r="B84" i="33" s="1"/>
  <c r="B66" i="9"/>
  <c r="B82" i="9" s="1"/>
  <c r="B83" i="9" s="1"/>
  <c r="B84" i="9" s="1"/>
  <c r="B66" i="19"/>
  <c r="B82" i="19" s="1"/>
  <c r="B83" i="19" s="1"/>
  <c r="B84" i="19" s="1"/>
  <c r="B85" i="19" s="1"/>
  <c r="B86" i="19" s="1"/>
  <c r="E32" i="19" s="1"/>
  <c r="B82" i="69"/>
  <c r="B83" i="69" s="1"/>
  <c r="B84" i="69" s="1"/>
  <c r="B66" i="25"/>
  <c r="B82" i="25" s="1"/>
  <c r="B83" i="25" s="1"/>
  <c r="B84" i="25" s="1"/>
  <c r="B66" i="58"/>
  <c r="B82" i="58" s="1"/>
  <c r="B83" i="58" s="1"/>
  <c r="B84" i="58" s="1"/>
  <c r="B66" i="26"/>
  <c r="B82" i="26" s="1"/>
  <c r="B83" i="26" s="1"/>
  <c r="B84" i="26" s="1"/>
  <c r="B66" i="43"/>
  <c r="B82" i="43" s="1"/>
  <c r="B83" i="43" s="1"/>
  <c r="B84" i="43" s="1"/>
  <c r="B82" i="57"/>
  <c r="B83" i="57" s="1"/>
  <c r="B84" i="57" s="1"/>
  <c r="B69" i="35"/>
  <c r="B85" i="35" s="1"/>
  <c r="B86" i="35" s="1"/>
  <c r="B87" i="35" s="1"/>
  <c r="B88" i="35" s="1"/>
  <c r="B89" i="35" s="1"/>
  <c r="B47" i="85"/>
  <c r="B62" i="85" s="1"/>
  <c r="B63" i="85" s="1"/>
  <c r="B82" i="68"/>
  <c r="B83" i="68" s="1"/>
  <c r="B84" i="68" s="1"/>
  <c r="B82" i="21"/>
  <c r="B83" i="21" s="1"/>
  <c r="B84" i="21" s="1"/>
  <c r="B80" i="12"/>
  <c r="B81" i="12" s="1"/>
  <c r="B82" i="12" s="1"/>
  <c r="B83" i="12" s="1"/>
  <c r="B84" i="12" s="1"/>
  <c r="B82" i="30"/>
  <c r="B83" i="30" s="1"/>
  <c r="B84" i="30" s="1"/>
  <c r="B66" i="60"/>
  <c r="B82" i="60" s="1"/>
  <c r="B83" i="60" s="1"/>
  <c r="B81" i="7"/>
  <c r="B82" i="7" s="1"/>
  <c r="B83" i="7" s="1"/>
  <c r="B84" i="7" s="1"/>
  <c r="B85" i="7" s="1"/>
  <c r="B66" i="6"/>
  <c r="B82" i="6" s="1"/>
  <c r="B82" i="55"/>
  <c r="B83" i="55" s="1"/>
  <c r="B84" i="55" s="1"/>
  <c r="B85" i="55" s="1"/>
  <c r="B86" i="55" s="1"/>
  <c r="B82" i="24"/>
  <c r="B83" i="24" s="1"/>
  <c r="B84" i="24" s="1"/>
  <c r="B64" i="37"/>
  <c r="B80" i="37" s="1"/>
  <c r="B66" i="81"/>
  <c r="B82" i="81" s="1"/>
  <c r="B66" i="61"/>
  <c r="B82" i="61" s="1"/>
  <c r="B83" i="61" s="1"/>
  <c r="B66" i="62"/>
  <c r="B82" i="62" s="1"/>
  <c r="B83" i="62" s="1"/>
  <c r="B84" i="62" s="1"/>
  <c r="B66" i="63"/>
  <c r="B82" i="63" s="1"/>
  <c r="B80" i="42"/>
  <c r="B81" i="42" s="1"/>
  <c r="B82" i="42" s="1"/>
  <c r="B85" i="52"/>
  <c r="B86" i="52" s="1"/>
  <c r="B82" i="4"/>
  <c r="B83" i="4" s="1"/>
  <c r="B83" i="49"/>
  <c r="B84" i="49" s="1"/>
  <c r="B70" i="18"/>
  <c r="B71" i="18" s="1"/>
  <c r="B83" i="3"/>
  <c r="B84" i="3" s="1"/>
  <c r="E55" i="37"/>
  <c r="B66" i="77"/>
  <c r="B82" i="77" s="1"/>
  <c r="B82" i="70"/>
  <c r="G51" i="79"/>
  <c r="H48" i="79"/>
  <c r="B83" i="16"/>
  <c r="B84" i="16" s="1"/>
  <c r="B83" i="38"/>
  <c r="B84" i="38" s="1"/>
  <c r="B82" i="53"/>
  <c r="B79" i="41"/>
  <c r="B80" i="41" s="1"/>
  <c r="B85" i="44"/>
  <c r="B86" i="44" s="1"/>
  <c r="B86" i="34"/>
  <c r="B66" i="80"/>
  <c r="B82" i="80" s="1"/>
  <c r="B75" i="14"/>
  <c r="B76" i="14" s="1"/>
  <c r="B87" i="19" l="1"/>
  <c r="B64" i="85"/>
  <c r="B65" i="85" s="1"/>
  <c r="B66" i="85" s="1"/>
  <c r="B84" i="60"/>
  <c r="B85" i="60" s="1"/>
  <c r="B86" i="60" s="1"/>
  <c r="B87" i="55"/>
  <c r="E32" i="55" s="1"/>
  <c r="B84" i="61"/>
  <c r="B85" i="61" s="1"/>
  <c r="B86" i="61" s="1"/>
  <c r="E32" i="15"/>
  <c r="B75" i="15"/>
  <c r="B85" i="31"/>
  <c r="B86" i="31" s="1"/>
  <c r="B87" i="31" s="1"/>
  <c r="B85" i="25"/>
  <c r="B86" i="25" s="1"/>
  <c r="B85" i="38"/>
  <c r="B86" i="38" s="1"/>
  <c r="B85" i="48"/>
  <c r="B86" i="48" s="1"/>
  <c r="B85" i="10"/>
  <c r="B86" i="10" s="1"/>
  <c r="B85" i="47"/>
  <c r="B86" i="47" s="1"/>
  <c r="E32" i="45"/>
  <c r="B87" i="45"/>
  <c r="B87" i="44"/>
  <c r="E32" i="44"/>
  <c r="E32" i="73"/>
  <c r="B87" i="73"/>
  <c r="E32" i="22"/>
  <c r="B87" i="22"/>
  <c r="B85" i="69"/>
  <c r="B86" i="69" s="1"/>
  <c r="B85" i="56"/>
  <c r="B86" i="56" s="1"/>
  <c r="B85" i="24"/>
  <c r="B86" i="24" s="1"/>
  <c r="B84" i="4"/>
  <c r="B85" i="4" s="1"/>
  <c r="B81" i="83"/>
  <c r="B82" i="83" s="1"/>
  <c r="B85" i="78"/>
  <c r="B86" i="78" s="1"/>
  <c r="B85" i="9"/>
  <c r="B86" i="9" s="1"/>
  <c r="B85" i="30"/>
  <c r="B86" i="30" s="1"/>
  <c r="B85" i="66"/>
  <c r="B86" i="66" s="1"/>
  <c r="B85" i="75"/>
  <c r="B86" i="75" s="1"/>
  <c r="B85" i="33"/>
  <c r="B86" i="33" s="1"/>
  <c r="B85" i="74"/>
  <c r="B86" i="74" s="1"/>
  <c r="B84" i="20"/>
  <c r="B85" i="20" s="1"/>
  <c r="B77" i="14"/>
  <c r="B78" i="14" s="1"/>
  <c r="B85" i="16"/>
  <c r="B86" i="16" s="1"/>
  <c r="B85" i="23"/>
  <c r="B86" i="23" s="1"/>
  <c r="B81" i="41"/>
  <c r="B82" i="41" s="1"/>
  <c r="B84" i="11"/>
  <c r="B85" i="11" s="1"/>
  <c r="B72" i="17"/>
  <c r="B73" i="17" s="1"/>
  <c r="B72" i="18"/>
  <c r="B73" i="18" s="1"/>
  <c r="E32" i="35"/>
  <c r="B90" i="35"/>
  <c r="B85" i="58"/>
  <c r="B86" i="58" s="1"/>
  <c r="E32" i="85"/>
  <c r="B67" i="85"/>
  <c r="B85" i="26"/>
  <c r="B86" i="26" s="1"/>
  <c r="B81" i="37"/>
  <c r="B82" i="37" s="1"/>
  <c r="B85" i="62"/>
  <c r="B86" i="62" s="1"/>
  <c r="B85" i="43"/>
  <c r="B86" i="43" s="1"/>
  <c r="B85" i="49"/>
  <c r="B86" i="49" s="1"/>
  <c r="E32" i="28"/>
  <c r="B87" i="28"/>
  <c r="B85" i="29"/>
  <c r="B86" i="29" s="1"/>
  <c r="B85" i="8"/>
  <c r="B86" i="8" s="1"/>
  <c r="B85" i="68"/>
  <c r="B86" i="68" s="1"/>
  <c r="B85" i="36"/>
  <c r="B86" i="36" s="1"/>
  <c r="B85" i="72"/>
  <c r="B86" i="72" s="1"/>
  <c r="B84" i="5"/>
  <c r="B85" i="5" s="1"/>
  <c r="E32" i="71"/>
  <c r="B87" i="71"/>
  <c r="B83" i="39"/>
  <c r="B84" i="39" s="1"/>
  <c r="B83" i="63"/>
  <c r="B84" i="63" s="1"/>
  <c r="B83" i="81"/>
  <c r="B84" i="81" s="1"/>
  <c r="B83" i="80"/>
  <c r="B84" i="80" s="1"/>
  <c r="B85" i="57"/>
  <c r="B86" i="57" s="1"/>
  <c r="E32" i="7"/>
  <c r="B86" i="7"/>
  <c r="B83" i="6"/>
  <c r="B84" i="6" s="1"/>
  <c r="B87" i="34"/>
  <c r="B88" i="34" s="1"/>
  <c r="B85" i="3"/>
  <c r="B86" i="3" s="1"/>
  <c r="B85" i="13"/>
  <c r="B86" i="13" s="1"/>
  <c r="B83" i="77"/>
  <c r="B84" i="77" s="1"/>
  <c r="B83" i="53"/>
  <c r="B84" i="53" s="1"/>
  <c r="B85" i="27"/>
  <c r="B86" i="27" s="1"/>
  <c r="B85" i="79"/>
  <c r="B86" i="79" s="1"/>
  <c r="B84" i="40"/>
  <c r="B85" i="40" s="1"/>
  <c r="B85" i="12"/>
  <c r="E32" i="12"/>
  <c r="B85" i="64"/>
  <c r="B86" i="64" s="1"/>
  <c r="E32" i="59"/>
  <c r="B87" i="59"/>
  <c r="B84" i="32"/>
  <c r="B85" i="32" s="1"/>
  <c r="B86" i="32" s="1"/>
  <c r="B85" i="67"/>
  <c r="B86" i="67" s="1"/>
  <c r="E32" i="52"/>
  <c r="B87" i="52"/>
  <c r="B80" i="46"/>
  <c r="B81" i="46" s="1"/>
  <c r="B85" i="65"/>
  <c r="B86" i="65" s="1"/>
  <c r="B85" i="21"/>
  <c r="B86" i="21" s="1"/>
  <c r="B83" i="70"/>
  <c r="B84" i="70" s="1"/>
  <c r="B83" i="42"/>
  <c r="B84" i="42" s="1"/>
  <c r="E32" i="49" l="1"/>
  <c r="B87" i="49"/>
  <c r="B87" i="47"/>
  <c r="E32" i="47"/>
  <c r="B89" i="34"/>
  <c r="B90" i="34" s="1"/>
  <c r="B85" i="6"/>
  <c r="B86" i="6" s="1"/>
  <c r="E32" i="61"/>
  <c r="B87" i="61"/>
  <c r="E32" i="3"/>
  <c r="B87" i="3"/>
  <c r="E32" i="43"/>
  <c r="B87" i="43"/>
  <c r="E32" i="74"/>
  <c r="B87" i="74"/>
  <c r="E32" i="69"/>
  <c r="B87" i="69"/>
  <c r="E32" i="60"/>
  <c r="B87" i="60"/>
  <c r="E32" i="72"/>
  <c r="B87" i="72"/>
  <c r="B85" i="53"/>
  <c r="B86" i="53" s="1"/>
  <c r="E32" i="78"/>
  <c r="B87" i="78"/>
  <c r="B85" i="70"/>
  <c r="B86" i="70" s="1"/>
  <c r="E32" i="48"/>
  <c r="B87" i="48"/>
  <c r="E32" i="33"/>
  <c r="B87" i="33"/>
  <c r="E32" i="27"/>
  <c r="B87" i="27"/>
  <c r="E32" i="58"/>
  <c r="B87" i="58"/>
  <c r="E32" i="83"/>
  <c r="B83" i="83"/>
  <c r="E32" i="65"/>
  <c r="B87" i="65"/>
  <c r="E32" i="25"/>
  <c r="B87" i="25"/>
  <c r="E32" i="9"/>
  <c r="B87" i="9"/>
  <c r="E32" i="29"/>
  <c r="B87" i="29"/>
  <c r="B86" i="4"/>
  <c r="E32" i="4"/>
  <c r="B87" i="10"/>
  <c r="E32" i="10"/>
  <c r="B82" i="46"/>
  <c r="E32" i="46"/>
  <c r="E32" i="23"/>
  <c r="B87" i="23"/>
  <c r="B79" i="14"/>
  <c r="E32" i="14"/>
  <c r="E32" i="42"/>
  <c r="B85" i="42"/>
  <c r="B74" i="18"/>
  <c r="E32" i="18"/>
  <c r="E32" i="8"/>
  <c r="B87" i="8"/>
  <c r="E32" i="40"/>
  <c r="B86" i="40"/>
  <c r="E32" i="79"/>
  <c r="B87" i="79"/>
  <c r="E32" i="67"/>
  <c r="B87" i="67"/>
  <c r="B87" i="57"/>
  <c r="E32" i="57"/>
  <c r="E32" i="62"/>
  <c r="B87" i="62"/>
  <c r="B85" i="63"/>
  <c r="B86" i="63" s="1"/>
  <c r="B87" i="16"/>
  <c r="E32" i="16"/>
  <c r="B87" i="38"/>
  <c r="E32" i="38"/>
  <c r="B86" i="5"/>
  <c r="E32" i="5"/>
  <c r="B86" i="20"/>
  <c r="E32" i="20"/>
  <c r="E32" i="68"/>
  <c r="B87" i="68"/>
  <c r="B83" i="41"/>
  <c r="E32" i="41"/>
  <c r="E32" i="66"/>
  <c r="B87" i="66"/>
  <c r="E31" i="39"/>
  <c r="B85" i="39"/>
  <c r="E32" i="30"/>
  <c r="B87" i="30"/>
  <c r="E32" i="21"/>
  <c r="B87" i="21"/>
  <c r="B85" i="77"/>
  <c r="B86" i="77" s="1"/>
  <c r="B85" i="80"/>
  <c r="B86" i="80" s="1"/>
  <c r="E32" i="31"/>
  <c r="B87" i="13"/>
  <c r="E32" i="13"/>
  <c r="B85" i="81"/>
  <c r="B86" i="81" s="1"/>
  <c r="E32" i="26"/>
  <c r="B87" i="26"/>
  <c r="B86" i="11"/>
  <c r="E32" i="11"/>
  <c r="E32" i="75"/>
  <c r="B87" i="75"/>
  <c r="B87" i="56"/>
  <c r="E32" i="56"/>
  <c r="E32" i="32"/>
  <c r="E32" i="36"/>
  <c r="B87" i="36"/>
  <c r="B83" i="37"/>
  <c r="B84" i="37" s="1"/>
  <c r="E32" i="17"/>
  <c r="B74" i="17"/>
  <c r="E32" i="24"/>
  <c r="B87" i="24"/>
  <c r="E32" i="64"/>
  <c r="B87" i="64"/>
  <c r="B87" i="80" l="1"/>
  <c r="E32" i="80"/>
  <c r="E32" i="63"/>
  <c r="B87" i="63"/>
  <c r="E32" i="70"/>
  <c r="B87" i="70"/>
  <c r="B87" i="53"/>
  <c r="E32" i="53"/>
  <c r="E32" i="37"/>
  <c r="B85" i="37"/>
  <c r="E32" i="34"/>
  <c r="B91" i="34"/>
  <c r="E32" i="81"/>
  <c r="B87" i="81"/>
  <c r="E32" i="77"/>
  <c r="B87" i="77"/>
  <c r="E32" i="6"/>
  <c r="B87" i="6"/>
  <c r="B32" i="51"/>
  <c r="B82" i="51" s="1"/>
  <c r="B83" i="51" s="1"/>
  <c r="B84" i="51" l="1"/>
  <c r="B85" i="51" l="1"/>
  <c r="B86" i="51" s="1"/>
  <c r="E32" i="51" l="1"/>
  <c r="B87" i="51"/>
  <c r="B32" i="54"/>
  <c r="B82" i="54" s="1"/>
  <c r="B83" i="54" l="1"/>
  <c r="B84" i="54" s="1"/>
  <c r="B85" i="54" l="1"/>
  <c r="B86" i="54" s="1"/>
  <c r="B87" i="54" l="1"/>
  <c r="E32" i="54"/>
</calcChain>
</file>

<file path=xl/sharedStrings.xml><?xml version="1.0" encoding="utf-8"?>
<sst xmlns="http://schemas.openxmlformats.org/spreadsheetml/2006/main" count="9292" uniqueCount="748">
  <si>
    <t>на 01.01 24</t>
  </si>
  <si>
    <t>на 01.12 24</t>
  </si>
  <si>
    <t>Ул. 1-я Строителей дом 42</t>
  </si>
  <si>
    <t>Ул. 1-я Строителей дом 44</t>
  </si>
  <si>
    <t>Ул. 1-я Строителей дом 46</t>
  </si>
  <si>
    <t>Ул. Альшеевская дом 10</t>
  </si>
  <si>
    <t>Ул. Альшеевская дом 12</t>
  </si>
  <si>
    <t>Ул. Альшеевская дом 12/а</t>
  </si>
  <si>
    <t>Ул. Альшеевская дом 14</t>
  </si>
  <si>
    <t>Ул. Альшеевская дом 14/а</t>
  </si>
  <si>
    <t>Ул. Альшеевская дом 15</t>
  </si>
  <si>
    <t>Ул. Альшеевская дом 20/а</t>
  </si>
  <si>
    <t>Ул. Аургазинская дом 8</t>
  </si>
  <si>
    <t>Ул. Грозненская дом 67/1</t>
  </si>
  <si>
    <t>Ул. Грозненская дом 67/2</t>
  </si>
  <si>
    <t>Ул. Грозненская дом 67/3</t>
  </si>
  <si>
    <t>Ул. Грозненская дом 67/4</t>
  </si>
  <si>
    <t>Ул. Грозненская дом 67/5</t>
  </si>
  <si>
    <t>Ул. Грозненская дом 69/7</t>
  </si>
  <si>
    <t>Ул. Дагестанская дом 11</t>
  </si>
  <si>
    <t>Ул. Дагестанская дом 11/1</t>
  </si>
  <si>
    <t>Ул. Дагестанская дом 13</t>
  </si>
  <si>
    <t>Ул. Дагестанская дом 15</t>
  </si>
  <si>
    <t>Ул. Дагестанская дом 17</t>
  </si>
  <si>
    <t>Ул. Дагестанская дом 19</t>
  </si>
  <si>
    <t>Ул. Дагестанская дом 27</t>
  </si>
  <si>
    <t>Ул. Дагестанская дом 31</t>
  </si>
  <si>
    <t>Ул. Дагестанская дом 5</t>
  </si>
  <si>
    <t>Ул. Дагестанская дом 7</t>
  </si>
  <si>
    <t>Ул. Дагестанская дом 9</t>
  </si>
  <si>
    <t>Ул. Дагестанская дом 9/1</t>
  </si>
  <si>
    <t>Ул. Левитана дом 13</t>
  </si>
  <si>
    <t>Ул. Левитана дом 14/1</t>
  </si>
  <si>
    <t>Ул. Левитана дом 14/2</t>
  </si>
  <si>
    <t>Ул. Левитана дом 14/3</t>
  </si>
  <si>
    <t>Ул. Левитана дом 14/5</t>
  </si>
  <si>
    <t>Ул. Левитана дом 14/6</t>
  </si>
  <si>
    <t>Ул. Левитана дом 15</t>
  </si>
  <si>
    <t>Ул. Левитана дом 17</t>
  </si>
  <si>
    <t>Ул. Левитана дом 19</t>
  </si>
  <si>
    <t>Ул. Левитана дом 20</t>
  </si>
  <si>
    <t>Ул. Левитана дом 21</t>
  </si>
  <si>
    <t>Ул. Левитана дом 21/а</t>
  </si>
  <si>
    <t>Ул. Левитана дом 22</t>
  </si>
  <si>
    <t>Ул. Левитана дом 22/2</t>
  </si>
  <si>
    <t>Ул. Левитана дом 23</t>
  </si>
  <si>
    <t>Ул. Левитана дом 3</t>
  </si>
  <si>
    <t>Ул. Левитана дом 36</t>
  </si>
  <si>
    <t>Ул. Левитана дом 37</t>
  </si>
  <si>
    <t>Ул. Левитана дом 39</t>
  </si>
  <si>
    <t>Ул. Левитана дом 39/а</t>
  </si>
  <si>
    <t>Ул. Левитана дом 41</t>
  </si>
  <si>
    <t>Ул. Левитана дом 41/а</t>
  </si>
  <si>
    <t>Ул. Левитана дом 41/б</t>
  </si>
  <si>
    <t>Ул. Левитана дом 43</t>
  </si>
  <si>
    <t>Ул. Левитана дом 43/а</t>
  </si>
  <si>
    <t>Ул. Левитана дом 5</t>
  </si>
  <si>
    <t>Ул. Левитана дом 7</t>
  </si>
  <si>
    <t>Ул. Левитана дом 7/а</t>
  </si>
  <si>
    <t>Ул. Левитана дом 71</t>
  </si>
  <si>
    <t>Ул. Левитана дом 8</t>
  </si>
  <si>
    <t>Ул. Левитана дом 9</t>
  </si>
  <si>
    <t>Ул. Левитана дом 9/а</t>
  </si>
  <si>
    <t>Ул. Локомотивная дом 2</t>
  </si>
  <si>
    <t>Ул. Локомотивная дом 26</t>
  </si>
  <si>
    <t>Ул. Локомотивная дом 4</t>
  </si>
  <si>
    <t>Ул. Локомотивная дом 6</t>
  </si>
  <si>
    <t>Ул. Магистральная дом 12/1</t>
  </si>
  <si>
    <t>Ул. Магистральная дом 17</t>
  </si>
  <si>
    <t>Ул. Магистральная дом 20/1</t>
  </si>
  <si>
    <t>Ул. Магистральная дом 27</t>
  </si>
  <si>
    <t>Ул. Магистральная дом 36</t>
  </si>
  <si>
    <t>Ул. Магистральная дом 6</t>
  </si>
  <si>
    <t>Ул. Магистральная дом 7</t>
  </si>
  <si>
    <t>Ул. Магистральная дом 7/а</t>
  </si>
  <si>
    <t>Ул. Магистральная дом 9</t>
  </si>
  <si>
    <t>Ул. Магистральная дом 9/а</t>
  </si>
  <si>
    <t>Ул. Минская дом 58</t>
  </si>
  <si>
    <t>Ул. Мусоргского дом 11</t>
  </si>
  <si>
    <t>Ул. Мусоргского дом 13</t>
  </si>
  <si>
    <t>Ул. Мусоргского дом 13/а</t>
  </si>
  <si>
    <t>Ул. Мусоргского дом 15</t>
  </si>
  <si>
    <t>Ул. Мусоргского дом 15/а</t>
  </si>
  <si>
    <t>Ул. Мусоргского дом 17</t>
  </si>
  <si>
    <t>Ул. Мусоргского дом 19/1</t>
  </si>
  <si>
    <t>Ул. Мусоргского дом 19/а</t>
  </si>
  <si>
    <t>Ул. Мусоргского дом 19/б</t>
  </si>
  <si>
    <t>Ул. Мусоргского дом 21</t>
  </si>
  <si>
    <t>Ул. Мусоргского дом 21/1</t>
  </si>
  <si>
    <t>Ул. Мусоргского дом 23</t>
  </si>
  <si>
    <t>Ул. Мусоргского дом 25</t>
  </si>
  <si>
    <t>Ул. Мусоргского дом 25/1</t>
  </si>
  <si>
    <t>Ул. Мусоргского дом 7</t>
  </si>
  <si>
    <t>Ул. Мусоргского дом 9</t>
  </si>
  <si>
    <t>Ул. Мусоргского дом 9/а</t>
  </si>
  <si>
    <t>Ул. Мусы Джалиля дом 10</t>
  </si>
  <si>
    <t>Ул. Мусы Джалиля дом 4</t>
  </si>
  <si>
    <t>Ул. Мусы Джалиля дом 5</t>
  </si>
  <si>
    <t>Ул. Мусы Джалиля дом 6</t>
  </si>
  <si>
    <t>Ул. Мусы Джалиля дом 64</t>
  </si>
  <si>
    <t>Ул. Мусы Джалиля дом 66</t>
  </si>
  <si>
    <t>Ул. Мусы Джалиля дом 68/1</t>
  </si>
  <si>
    <t>Ул. Мусы Джалиля дом 74</t>
  </si>
  <si>
    <t>Ул. Мусы Джалиля дом 74/3</t>
  </si>
  <si>
    <t>Ул. Мусы Джалиля дом 8</t>
  </si>
  <si>
    <t>Ул. Новороссийская дом 10</t>
  </si>
  <si>
    <t>Ул. Новороссийская дом 2</t>
  </si>
  <si>
    <t>Ул. Новороссийская дом 4</t>
  </si>
  <si>
    <t>Ул. Новороссийская дом 6</t>
  </si>
  <si>
    <t>Ул. Новороссийская дом 8</t>
  </si>
  <si>
    <t>Ул. Островского дом 16/1</t>
  </si>
  <si>
    <t>Ул. Островского дом 18/1</t>
  </si>
  <si>
    <t>Ул. Правды дом 1</t>
  </si>
  <si>
    <t>Ул. Правды дом 10</t>
  </si>
  <si>
    <t>Ул. Правды дом 10/а</t>
  </si>
  <si>
    <t>Ул. Правды дом 11</t>
  </si>
  <si>
    <t>Ул. Правды дом 12</t>
  </si>
  <si>
    <t>Ул. Правды дом 13</t>
  </si>
  <si>
    <t>Ул. Правды дом 15</t>
  </si>
  <si>
    <t>Ул. Правды дом 18</t>
  </si>
  <si>
    <t>Ул. Правды дом 18/1</t>
  </si>
  <si>
    <t>Ул. Правды дом 18/2</t>
  </si>
  <si>
    <t>Ул. Правды дом 18/3</t>
  </si>
  <si>
    <t>Ул. Правды дом 2</t>
  </si>
  <si>
    <t>Ул. Правды дом 20</t>
  </si>
  <si>
    <t>Ул. Правды дом 20/1</t>
  </si>
  <si>
    <t>Ул. Правды дом 20/2</t>
  </si>
  <si>
    <t>Ул. Правды дом 21</t>
  </si>
  <si>
    <t>Ул. Правды дом 23</t>
  </si>
  <si>
    <t>Ул. Правды дом 25</t>
  </si>
  <si>
    <t>Ул. Правды дом 25/1</t>
  </si>
  <si>
    <t>Ул. Правды дом 25/2</t>
  </si>
  <si>
    <t>Ул. Правды дом 3</t>
  </si>
  <si>
    <t>Ул. Правды дом 31/1</t>
  </si>
  <si>
    <t>Ул. Правды дом 37/1</t>
  </si>
  <si>
    <t>Ул. Правды дом 4</t>
  </si>
  <si>
    <t>Ул. Правды дом 4/1</t>
  </si>
  <si>
    <t>Ул. Правды дом 6</t>
  </si>
  <si>
    <t>Ул. Правды дом 6/а</t>
  </si>
  <si>
    <t>Ул. Правды дом 8</t>
  </si>
  <si>
    <t>Ул. Правды дом 8/1</t>
  </si>
  <si>
    <t>Ул. Правды дом 8/а</t>
  </si>
  <si>
    <t>Ул. Рядовая дом 10</t>
  </si>
  <si>
    <t>Ул. Рядовая дом 11</t>
  </si>
  <si>
    <t>Ул. Рядовая дом 12</t>
  </si>
  <si>
    <t>Ул. Рядовая дом 13</t>
  </si>
  <si>
    <t>Ул. Рядовая дом 15</t>
  </si>
  <si>
    <t>Ул. Рядовая дом 2</t>
  </si>
  <si>
    <t>Ул. Рядовая дом 3</t>
  </si>
  <si>
    <t>Ул. Рядовая дом 3/1</t>
  </si>
  <si>
    <t>Ул. Рядовая дом 5</t>
  </si>
  <si>
    <t>Ул. Рядовая дом 5/1</t>
  </si>
  <si>
    <t>Ул. Рядовая дом 7</t>
  </si>
  <si>
    <t>Ул. Рядовая дом 7/1</t>
  </si>
  <si>
    <t>Ул. Рядовая дом 9</t>
  </si>
  <si>
    <t>Ул. Таллинская дом 14</t>
  </si>
  <si>
    <t>Ул. Таллинская дом 16</t>
  </si>
  <si>
    <t>Ул. Таллинская дом 18</t>
  </si>
  <si>
    <t>Ул. Таллинская дом 2/1</t>
  </si>
  <si>
    <t>Ул. Таллинская дом 20</t>
  </si>
  <si>
    <t>Ул. Таллинская дом 21</t>
  </si>
  <si>
    <t>Ул. Таллинская дом 21/а</t>
  </si>
  <si>
    <t>Ул. Таллинская дом 22</t>
  </si>
  <si>
    <t>Ул. Таллинская дом 23</t>
  </si>
  <si>
    <t>Ул. Таллинская дом 23/а</t>
  </si>
  <si>
    <t>Ул. Таллинская дом 23/б</t>
  </si>
  <si>
    <t>Ул. Таллинская дом 24</t>
  </si>
  <si>
    <t>Ул. Таллинская дом 24/1</t>
  </si>
  <si>
    <t>Ул. Таллинская дом 26</t>
  </si>
  <si>
    <t>Ул. Таллинская дом 26/1</t>
  </si>
  <si>
    <t>Ул. Таллинская дом 28</t>
  </si>
  <si>
    <t>Ул. Таллинская дом 28/1</t>
  </si>
  <si>
    <t>Ул. Таллинская дом 3/1</t>
  </si>
  <si>
    <t>Ул. Таллинская дом 3/а</t>
  </si>
  <si>
    <t>Ул. Таллинская дом 3/б</t>
  </si>
  <si>
    <t>Ул. Таллинская дом 4</t>
  </si>
  <si>
    <t>Ул. Таллинская дом 6</t>
  </si>
  <si>
    <t>Ул. Таллинская дом 7</t>
  </si>
  <si>
    <t>Ул. Туринская дом 2/а</t>
  </si>
  <si>
    <t>Ул. Туринская дом 2/б</t>
  </si>
  <si>
    <t>Ул. Ухтомского дом 11</t>
  </si>
  <si>
    <t>Ул. Ухтомского дом 12</t>
  </si>
  <si>
    <t>Ул. Ухтомского дом 16</t>
  </si>
  <si>
    <t>Ул. Ухтомского дом 21</t>
  </si>
  <si>
    <t>Ул. Ухтомского дом 22</t>
  </si>
  <si>
    <t>Ул. Ухтомского дом 23</t>
  </si>
  <si>
    <t>Ул. Ухтомского дом 24</t>
  </si>
  <si>
    <t>Ул. Ухтомского дом 26</t>
  </si>
  <si>
    <t>Ул. Ухтомского дом 26/2</t>
  </si>
  <si>
    <t>Ул. Ухтомского дом 28</t>
  </si>
  <si>
    <t>Ул. Ухтомского дом 30</t>
  </si>
  <si>
    <t>Ул. Ухтомского дом 30/2</t>
  </si>
  <si>
    <t>Ул. Ухтомского дом 5</t>
  </si>
  <si>
    <t>Ул. Центральная дом 1</t>
  </si>
  <si>
    <t>Ул. Центральная дом 1/2</t>
  </si>
  <si>
    <t>Ул. Центральная дом 10</t>
  </si>
  <si>
    <t>Ул. Центральная дом 12</t>
  </si>
  <si>
    <t>Ул. Центральная дом 12/а</t>
  </si>
  <si>
    <t>Ул. Центральная дом 14</t>
  </si>
  <si>
    <t>Ул. Центральная дом 14/а</t>
  </si>
  <si>
    <t>Ул. Центральная дом 16</t>
  </si>
  <si>
    <t>Ул. Центральная дом 18/1</t>
  </si>
  <si>
    <t>Ул. Центральная дом 2</t>
  </si>
  <si>
    <t>Ул. Центральная дом 22</t>
  </si>
  <si>
    <t>Ул. Центральная дом 22/а</t>
  </si>
  <si>
    <t>Ул. Центральная дом 28</t>
  </si>
  <si>
    <t>Ул. Центральная дом 3</t>
  </si>
  <si>
    <t>Ул. Центральная дом 30</t>
  </si>
  <si>
    <t>Ул. Центральная дом 31/1</t>
  </si>
  <si>
    <t>Ул. Центральная дом 34</t>
  </si>
  <si>
    <t>Ул. Центральная дом 38</t>
  </si>
  <si>
    <t>Ул. Центральная дом 4</t>
  </si>
  <si>
    <t>Ул. Центральная дом 4/а</t>
  </si>
  <si>
    <t>Ул. Центральная дом 40</t>
  </si>
  <si>
    <t>Ул. Центральная дом 42</t>
  </si>
  <si>
    <t>Ул. Центральная дом 44</t>
  </si>
  <si>
    <t>Ул. Центральная дом 51</t>
  </si>
  <si>
    <t>Ул. Центральная дом 6</t>
  </si>
  <si>
    <t>Ул. Центральная дом 6/1</t>
  </si>
  <si>
    <t>Ул. Центральная дом 8</t>
  </si>
  <si>
    <t>Ул. Юматовская дом 2/б</t>
  </si>
  <si>
    <t>Управляющая компания</t>
  </si>
  <si>
    <t>Непосредственное</t>
  </si>
  <si>
    <t>,</t>
  </si>
  <si>
    <t>АО "УЖХ Демского района городского округа город Уфа Республики Башкортостан"</t>
  </si>
  <si>
    <t>Отчет о выполненных работах и оказанных услугах по содержанию и ремонту</t>
  </si>
  <si>
    <t>общего имущества многоквартирного дома</t>
  </si>
  <si>
    <t>Перечень работ и услуг</t>
  </si>
  <si>
    <t>Факт</t>
  </si>
  <si>
    <t>Объем                 (в год)</t>
  </si>
  <si>
    <t>Стоимость за ед. изм.</t>
  </si>
  <si>
    <t>Сальдо на конец  периода (экономия +), (перерасход -)</t>
  </si>
  <si>
    <t>Задолженность населения за ЖКУ  на начало периода</t>
  </si>
  <si>
    <t>1. Доходы</t>
  </si>
  <si>
    <t>-</t>
  </si>
  <si>
    <t>Общая площадь жилых помещений</t>
  </si>
  <si>
    <t>Общая площадь нежилых помещений</t>
  </si>
  <si>
    <t>Общая площадь жилых и нежилых помещений</t>
  </si>
  <si>
    <t>Уборочная площадь территории (приведенная)</t>
  </si>
  <si>
    <t xml:space="preserve">Уборочная площадь лестничных клеток </t>
  </si>
  <si>
    <t xml:space="preserve">Площадь подвала </t>
  </si>
  <si>
    <t>Площадь чердака</t>
  </si>
  <si>
    <t>Площадь кровли</t>
  </si>
  <si>
    <t>Количество лифтов</t>
  </si>
  <si>
    <t xml:space="preserve">Численность проживающих </t>
  </si>
  <si>
    <t>Выручка по содержаниею жилых помещений (начислено)</t>
  </si>
  <si>
    <t>Выручка по содержаниею жилых помещений (поступило)</t>
  </si>
  <si>
    <t xml:space="preserve">Выручка по содержаниею нежилых помещений </t>
  </si>
  <si>
    <t>Выручка по содержаниею нежилых помещений (поступило)</t>
  </si>
  <si>
    <t xml:space="preserve">Выручка от управления общим имуществом </t>
  </si>
  <si>
    <t>Выручка по текущему ремонту</t>
  </si>
  <si>
    <t>2. Расходы:</t>
  </si>
  <si>
    <t>1.Набор работ по техническому обслуживанию конструктивных элементов зданий и внутридомового оборудования подготовке к сезонной эксплуатации</t>
  </si>
  <si>
    <t xml:space="preserve"> - опрессовка (гидравлические испытания), промывка системы ЦО</t>
  </si>
  <si>
    <t xml:space="preserve"> - ремонтные работы цо</t>
  </si>
  <si>
    <t xml:space="preserve"> - сантехнические работы</t>
  </si>
  <si>
    <t xml:space="preserve"> - общестроительные работы</t>
  </si>
  <si>
    <t xml:space="preserve"> - благоустройство</t>
  </si>
  <si>
    <t xml:space="preserve"> - установка почтовых ящиков</t>
  </si>
  <si>
    <r>
      <t xml:space="preserve"> - прочие (</t>
    </r>
    <r>
      <rPr>
        <i/>
        <sz val="9"/>
        <rFont val="Times New Roman"/>
        <family val="1"/>
        <charset val="204"/>
      </rPr>
      <t xml:space="preserve">замена труб, водомера ревизия вентелей, ремонт оголовок, прочистка канализ….) </t>
    </r>
  </si>
  <si>
    <t>Снятие сосулек</t>
  </si>
  <si>
    <r>
      <t>2. Расходы по техническому обслуживанию конструктивных элементов зданий и инженерных коммуникаций МКД, работа по заявкам населения(</t>
    </r>
    <r>
      <rPr>
        <i/>
        <sz val="12"/>
        <rFont val="Times New Roman"/>
        <family val="1"/>
        <charset val="204"/>
      </rPr>
      <t>содержание сантехника, электромонтера, кровельщика, плотника……)</t>
    </r>
  </si>
  <si>
    <t xml:space="preserve"> - непредвиденный ремонт конструктивных элементов</t>
  </si>
  <si>
    <t xml:space="preserve"> - непредвиденный ремонт инженерного оборудования</t>
  </si>
  <si>
    <t xml:space="preserve"> - услуги службы технического обслуживания и ремонта электрооборудования </t>
  </si>
  <si>
    <t>3. Услуги сторонних организаций</t>
  </si>
  <si>
    <t xml:space="preserve"> - дератизация</t>
  </si>
  <si>
    <t>чердак+подвал</t>
  </si>
  <si>
    <t xml:space="preserve"> - дезинсекция</t>
  </si>
  <si>
    <t>подвал</t>
  </si>
  <si>
    <t xml:space="preserve"> - обслуживание лифтов</t>
  </si>
  <si>
    <t xml:space="preserve"> - освидетельствование лифтов</t>
  </si>
  <si>
    <t xml:space="preserve"> - обследование лифтов</t>
  </si>
  <si>
    <t xml:space="preserve"> - страхование лифтов</t>
  </si>
  <si>
    <t xml:space="preserve"> - обслуживание узлов автоматического регулирования</t>
  </si>
  <si>
    <t xml:space="preserve"> - обслуживание узлов учета тепловой энергии</t>
  </si>
  <si>
    <t xml:space="preserve"> - госповерка узлов учета тепловой энергии</t>
  </si>
  <si>
    <t xml:space="preserve"> - обслуживание индивидуального теплового пункта</t>
  </si>
  <si>
    <t xml:space="preserve"> - обслуживание спецконтейнера, утилизация ртутьсодержащих ламп</t>
  </si>
  <si>
    <t xml:space="preserve"> - расходы по вывозу твердых бытовых отходов (без КГМ)</t>
  </si>
  <si>
    <t xml:space="preserve"> - огнезащитная обработка деревянных конструкция кровли</t>
  </si>
  <si>
    <t xml:space="preserve"> - материалы</t>
  </si>
  <si>
    <t xml:space="preserve"> - обслуживание ВДГО</t>
  </si>
  <si>
    <t xml:space="preserve"> - расходы по обслуживанию вентканалов и дымоходов</t>
  </si>
  <si>
    <t xml:space="preserve"> - расходы по диагностированию внутреннего газопровода</t>
  </si>
  <si>
    <t>4. Услуги жилищных предприятий</t>
  </si>
  <si>
    <t xml:space="preserve"> - уборка лестничных клеток</t>
  </si>
  <si>
    <t xml:space="preserve"> - уборка придомовой территории</t>
  </si>
  <si>
    <t xml:space="preserve"> - услуги по вывозу КГМ</t>
  </si>
  <si>
    <t xml:space="preserve"> - услуги абонентской службы (содержание контролеров)</t>
  </si>
  <si>
    <t xml:space="preserve"> - услуги объединенной диспетчерской службы (ОДС)</t>
  </si>
  <si>
    <t xml:space="preserve"> - услуги аварийной  службы (АДС)</t>
  </si>
  <si>
    <t xml:space="preserve"> - услуги по сбору и вывозу растительных отходов и КГМ </t>
  </si>
  <si>
    <t xml:space="preserve"> - услуги по механизированной уборке территории  (и прочие услуги спецтехники)</t>
  </si>
  <si>
    <r>
      <t xml:space="preserve"> 5. Общеэксплуатационные расходы</t>
    </r>
    <r>
      <rPr>
        <i/>
        <sz val="12"/>
        <rFont val="Times New Roman"/>
        <family val="1"/>
        <charset val="204"/>
      </rPr>
      <t>(страхование, аммортизация имущества, ремонт машин и оборудования, содержание производственных помещений , оплатиа труда аппарата управления, мед.обслуживание, почтово-телеграфные расходы, программное обеспечение)</t>
    </r>
  </si>
  <si>
    <t xml:space="preserve"> - общеэксплуатационные расходы ЖЭУ</t>
  </si>
  <si>
    <t>6. Расходы по начислению и сбору платежей и управления многоквартирным домом</t>
  </si>
  <si>
    <r>
      <t xml:space="preserve"> - услуги УК (</t>
    </r>
    <r>
      <rPr>
        <i/>
        <sz val="10"/>
        <rFont val="Times New Roman"/>
        <family val="1"/>
        <charset val="204"/>
      </rPr>
      <t>организация работ по содержанию и ремонту общего имущества и предоставлению КУ</t>
    </r>
    <r>
      <rPr>
        <sz val="12"/>
        <rFont val="Times New Roman"/>
        <family val="1"/>
        <charset val="204"/>
      </rPr>
      <t>)</t>
    </r>
  </si>
  <si>
    <t xml:space="preserve"> - услуги по управлению многоквартирным домом (для нежилых помещений)</t>
  </si>
  <si>
    <r>
      <t xml:space="preserve"> - услуги ЕРКЦ </t>
    </r>
    <r>
      <rPr>
        <i/>
        <sz val="10"/>
        <rFont val="Times New Roman"/>
        <family val="1"/>
        <charset val="204"/>
      </rPr>
      <t>(начисление, формирование, печать, конвертирование, доставка ПД…..)</t>
    </r>
  </si>
  <si>
    <r>
      <t xml:space="preserve"> - услуги организаций по приему платежей ( </t>
    </r>
    <r>
      <rPr>
        <i/>
        <sz val="10"/>
        <rFont val="Times New Roman"/>
        <family val="1"/>
        <charset val="204"/>
      </rPr>
      <t>0,8% от суммы платежей</t>
    </r>
    <r>
      <rPr>
        <sz val="12"/>
        <rFont val="Times New Roman"/>
        <family val="1"/>
        <charset val="204"/>
      </rPr>
      <t>)</t>
    </r>
  </si>
  <si>
    <t>ИТОГО себестоимость</t>
  </si>
  <si>
    <t xml:space="preserve">Рентабельность 3 % </t>
  </si>
  <si>
    <t xml:space="preserve">ИТОГО стоимость услуг в год без НДС </t>
  </si>
  <si>
    <t xml:space="preserve">НДС 20 % </t>
  </si>
  <si>
    <t xml:space="preserve">ИТОГО стоимость услуг в год с НДС </t>
  </si>
  <si>
    <t>Сальдо на конец  периода (экономия +), (перерасход -) от начисленного</t>
  </si>
  <si>
    <t>Сальдо на конец  периода (экономия +), (перерасход -) от поступившего</t>
  </si>
  <si>
    <t>Задолженность населения за ЖКУ  на конец периода</t>
  </si>
  <si>
    <t>Ремонт кровли</t>
  </si>
  <si>
    <t xml:space="preserve"> - прочие</t>
  </si>
  <si>
    <t xml:space="preserve"> - прочие </t>
  </si>
  <si>
    <t xml:space="preserve"> - обслуживание насосных станций</t>
  </si>
  <si>
    <t xml:space="preserve"> - обслуживание систем АППЗ и ДУ</t>
  </si>
  <si>
    <t xml:space="preserve"> - периодическая проверка вентканалов и дымоходов</t>
  </si>
  <si>
    <t xml:space="preserve"> - дезинсекции</t>
  </si>
  <si>
    <t xml:space="preserve"> - установка двери</t>
  </si>
  <si>
    <t>Выручка по содержанию жилых помещений (начислено)</t>
  </si>
  <si>
    <t>Выручка по содержанию жилых помещений (поступило)</t>
  </si>
  <si>
    <t>Выручка по содержаниею нежилых помещений</t>
  </si>
  <si>
    <t xml:space="preserve"> - ремонтные работы ЦО</t>
  </si>
  <si>
    <t>Смена вентилей,установка заглушек</t>
  </si>
  <si>
    <r>
      <t xml:space="preserve"> - прочие (</t>
    </r>
    <r>
      <rPr>
        <i/>
        <sz val="12"/>
        <color indexed="8"/>
        <rFont val="Times New Roman"/>
        <family val="1"/>
        <charset val="204"/>
      </rPr>
      <t xml:space="preserve">замена труб, водомера ревизия вентелей, ремонт оголовок, прочистка канализ….) </t>
    </r>
  </si>
  <si>
    <r>
      <t>2. Расходы по техническому обслуживанию конструктивных элементов зданий и инженерных коммуникаций МКД, работа по заявкам населения (</t>
    </r>
    <r>
      <rPr>
        <i/>
        <sz val="12"/>
        <color indexed="8"/>
        <rFont val="Times New Roman"/>
        <family val="1"/>
        <charset val="204"/>
      </rPr>
      <t>содержание сантехника, электромонтера, кровельщика, плотника……)</t>
    </r>
  </si>
  <si>
    <t xml:space="preserve"> - дератизации</t>
  </si>
  <si>
    <t xml:space="preserve"> - услуги ВДГО</t>
  </si>
  <si>
    <r>
      <t xml:space="preserve"> 5. Общеэксплуатационные расходы</t>
    </r>
    <r>
      <rPr>
        <i/>
        <sz val="12"/>
        <color indexed="8"/>
        <rFont val="Times New Roman"/>
        <family val="1"/>
        <charset val="204"/>
      </rPr>
      <t>(страхование, аммортизация имущества, ремонт машин и оборудования, содержание производственных помещений , оплатиа труда аппарата управления, мед.обслуживание, почтово-телеграфные расходы, программное обеспечение)</t>
    </r>
  </si>
  <si>
    <r>
      <t xml:space="preserve"> - услуги УК (</t>
    </r>
    <r>
      <rPr>
        <i/>
        <sz val="12"/>
        <color indexed="8"/>
        <rFont val="Times New Roman"/>
        <family val="1"/>
        <charset val="204"/>
      </rPr>
      <t>организация работ по содержанию и ремонту общего имущества и предоставлению КУ</t>
    </r>
    <r>
      <rPr>
        <sz val="12"/>
        <color indexed="8"/>
        <rFont val="Times New Roman"/>
        <family val="1"/>
        <charset val="204"/>
      </rPr>
      <t>)</t>
    </r>
  </si>
  <si>
    <r>
      <t xml:space="preserve"> - услуги ЕРКЦ </t>
    </r>
    <r>
      <rPr>
        <i/>
        <sz val="12"/>
        <color indexed="8"/>
        <rFont val="Times New Roman"/>
        <family val="1"/>
        <charset val="204"/>
      </rPr>
      <t>(начисление, формирование, печать, конвертирование, доставка ПД…..)</t>
    </r>
  </si>
  <si>
    <r>
      <t xml:space="preserve"> - услуги организаций по приему платежей ( </t>
    </r>
    <r>
      <rPr>
        <i/>
        <sz val="12"/>
        <color indexed="8"/>
        <rFont val="Times New Roman"/>
        <family val="1"/>
        <charset val="204"/>
      </rPr>
      <t>0,8% от суммы платежей</t>
    </r>
    <r>
      <rPr>
        <sz val="12"/>
        <color indexed="8"/>
        <rFont val="Times New Roman"/>
        <family val="1"/>
        <charset val="204"/>
      </rPr>
      <t>)</t>
    </r>
  </si>
  <si>
    <t xml:space="preserve">                          Главный экономист                                                                                  Е.М. Еникеева</t>
  </si>
  <si>
    <t xml:space="preserve">Очистка канализационной сети </t>
  </si>
  <si>
    <t>Смена трубопроводов</t>
  </si>
  <si>
    <t>Ремонт шиферной кровли</t>
  </si>
  <si>
    <t>Сантехнические работы</t>
  </si>
  <si>
    <t xml:space="preserve"> - очистка кровли от снега</t>
  </si>
  <si>
    <t xml:space="preserve"> - замер сопротивления изоляции</t>
  </si>
  <si>
    <t xml:space="preserve"> - услуги ВДГО (диагностика, обслуживание)</t>
  </si>
  <si>
    <t xml:space="preserve"> - очистка кровли от снега и наледи</t>
  </si>
  <si>
    <t xml:space="preserve"> - ремонт кровли</t>
  </si>
  <si>
    <t xml:space="preserve"> -  техническое обслуживание узла учета тепловой энергии</t>
  </si>
  <si>
    <t xml:space="preserve"> - материалы и ремонтные работы </t>
  </si>
  <si>
    <t xml:space="preserve"> - поверка ОДПУ ТЭ</t>
  </si>
  <si>
    <t xml:space="preserve"> - техническое обслуживание УУТЭ</t>
  </si>
  <si>
    <t xml:space="preserve"> - установка модемов</t>
  </si>
  <si>
    <t xml:space="preserve"> - поверка приборов учета тепловой энергии</t>
  </si>
  <si>
    <t xml:space="preserve"> - проверка вентканалов</t>
  </si>
  <si>
    <t xml:space="preserve"> - диагностика ВДГО</t>
  </si>
  <si>
    <t>Выручка по содержанию нежилых помещений</t>
  </si>
  <si>
    <t>Выручка по содержанию нежилых помещений (поступило)</t>
  </si>
  <si>
    <t>убрали наряды по сантехнике</t>
  </si>
  <si>
    <t xml:space="preserve"> - ремонт мешп. швов</t>
  </si>
  <si>
    <t xml:space="preserve"> -изготовление технического паспорта</t>
  </si>
  <si>
    <t xml:space="preserve"> - техническое обслуживание узла учета тепловой энергии</t>
  </si>
  <si>
    <t xml:space="preserve"> -ремонт и поверка Взлет 024 М, ЭР 420</t>
  </si>
  <si>
    <t xml:space="preserve"> - ремонт и поверка ТСРВ</t>
  </si>
  <si>
    <t xml:space="preserve"> - материалы и ремонтные работы</t>
  </si>
  <si>
    <t xml:space="preserve"> - ремонт межпанельных швов</t>
  </si>
  <si>
    <t xml:space="preserve"> - установка качелей</t>
  </si>
  <si>
    <t xml:space="preserve"> - поверка ПРЭМ</t>
  </si>
  <si>
    <t xml:space="preserve"> - замена платы ПРЭМ</t>
  </si>
  <si>
    <t>Смена монометров,вентилей</t>
  </si>
  <si>
    <t>Проверка на прогрев отопительных приб.</t>
  </si>
  <si>
    <t>Закраска граффити</t>
  </si>
  <si>
    <t xml:space="preserve">Очистка козырька от снега  и снятие сосулек с крыши </t>
  </si>
  <si>
    <t>окраска дет площадки</t>
  </si>
  <si>
    <t>окраска бельевых труб</t>
  </si>
  <si>
    <t>Выручка по диагностированию ВДГО</t>
  </si>
  <si>
    <t xml:space="preserve">Ремонт дверного полотна </t>
  </si>
  <si>
    <t>Очистка кровли от снега</t>
  </si>
  <si>
    <t>Окраска ограждений</t>
  </si>
  <si>
    <t>Разборка асфальтового покрытия</t>
  </si>
  <si>
    <t xml:space="preserve">Окраска ограждений и побелка деревьев </t>
  </si>
  <si>
    <t xml:space="preserve"> - обслуживание УУТЭ</t>
  </si>
  <si>
    <t xml:space="preserve"> - электроиспытания электоустановок</t>
  </si>
  <si>
    <t xml:space="preserve"> - обслуживание ремонт установок дымоудаления и пожарной сигнализации</t>
  </si>
  <si>
    <t xml:space="preserve"> - АППЗ и ДУ</t>
  </si>
  <si>
    <t>Промазка стыков кровли мастикой</t>
  </si>
  <si>
    <t>Смена профнастила на контейнерной площадке</t>
  </si>
  <si>
    <t>подготовка ям для посадки кустарников</t>
  </si>
  <si>
    <t>обшивка контейнерной площадки профнастилом</t>
  </si>
  <si>
    <t>окраска контейнерной площадки</t>
  </si>
  <si>
    <t xml:space="preserve"> - освидетельствование </t>
  </si>
  <si>
    <t xml:space="preserve"> - обслуживание узла учета тепловой энергии</t>
  </si>
  <si>
    <t xml:space="preserve"> - материалы, ремонтные работы</t>
  </si>
  <si>
    <t xml:space="preserve">                              И.о. директора                                                                                    А.К. Шамсутдинов                                                                                   </t>
  </si>
  <si>
    <t xml:space="preserve"> - техническое обслуживание и материалы</t>
  </si>
  <si>
    <t xml:space="preserve"> - диспетчеризация регулятора температур</t>
  </si>
  <si>
    <t xml:space="preserve"> - изготовление техпаспорта</t>
  </si>
  <si>
    <t xml:space="preserve"> - обслуживание ИТП</t>
  </si>
  <si>
    <t xml:space="preserve"> - материалы ремонтные работы</t>
  </si>
  <si>
    <t>Выручка от управления общим имуществом</t>
  </si>
  <si>
    <t xml:space="preserve"> - запуск системы ЦО</t>
  </si>
  <si>
    <r>
      <t>2. Расходы по техническому обслуживанию конструктивных элементов зданий и инженерных коммуникаций МКД, работа по заявкам населения (</t>
    </r>
    <r>
      <rPr>
        <i/>
        <sz val="12"/>
        <rFont val="Times New Roman"/>
        <family val="1"/>
        <charset val="204"/>
      </rPr>
      <t>содержание сантехника, электромонтера, кровельщика, плотника……)</t>
    </r>
  </si>
  <si>
    <t xml:space="preserve"> - материалы </t>
  </si>
  <si>
    <t xml:space="preserve"> - проверка вентканалов и дымоходов</t>
  </si>
  <si>
    <t xml:space="preserve"> - материалы и мастер класс по изготовлению дворовых фигур</t>
  </si>
  <si>
    <t xml:space="preserve"> - услуги ВДГО </t>
  </si>
  <si>
    <t xml:space="preserve"> </t>
  </si>
  <si>
    <t>Главный экономист                                                            Е.М. Еникеева</t>
  </si>
  <si>
    <t xml:space="preserve"> - заливка хоккейной коробки</t>
  </si>
  <si>
    <t xml:space="preserve"> -  очистка кровли от снега</t>
  </si>
  <si>
    <t xml:space="preserve"> - материалы, и мастер класс по изготовлению дворовых фигур</t>
  </si>
  <si>
    <t xml:space="preserve"> - проверка дымоходов</t>
  </si>
  <si>
    <t xml:space="preserve"> - проверка  вентканалов и дымоходов</t>
  </si>
  <si>
    <t xml:space="preserve"> - ремонтные работы</t>
  </si>
  <si>
    <t xml:space="preserve"> - установка модемов </t>
  </si>
  <si>
    <t xml:space="preserve"> - замена платы ВКТ-7</t>
  </si>
  <si>
    <t xml:space="preserve"> -  материалы</t>
  </si>
  <si>
    <t xml:space="preserve"> - поверка ВКТ-7</t>
  </si>
  <si>
    <t xml:space="preserve"> - обслуживание приборов автоматического регулирования</t>
  </si>
  <si>
    <t xml:space="preserve"> -  техническое обслуживание узла  учета тепловой энергии</t>
  </si>
  <si>
    <t xml:space="preserve"> - благоустройство двора</t>
  </si>
  <si>
    <t xml:space="preserve"> -периодическая проверка вентканалов и дымоходов</t>
  </si>
  <si>
    <t xml:space="preserve"> - проверка вентканалов </t>
  </si>
  <si>
    <t xml:space="preserve"> - техническое обслуживание приборов автоматического регулирования</t>
  </si>
  <si>
    <t xml:space="preserve"> -очистка кровли от снега</t>
  </si>
  <si>
    <t xml:space="preserve"> - ремонтные работы </t>
  </si>
  <si>
    <t xml:space="preserve"> - поверка Взлет 024М, Эр 420</t>
  </si>
  <si>
    <t xml:space="preserve"> - очистка кровель от снега и наледи </t>
  </si>
  <si>
    <t xml:space="preserve"> - поверочные работы расходомера</t>
  </si>
  <si>
    <t>Выручка по диагностированию  ВДГО</t>
  </si>
  <si>
    <t xml:space="preserve"> - планировка грунта</t>
  </si>
  <si>
    <t>за счет остатка</t>
  </si>
  <si>
    <t xml:space="preserve"> - окраска фасада</t>
  </si>
  <si>
    <t>Окраска цоколя</t>
  </si>
  <si>
    <t>Ремонт фасада</t>
  </si>
  <si>
    <t xml:space="preserve"> - установка блоков питания для теплосчетчиков</t>
  </si>
  <si>
    <t>Смена запорной арматуры</t>
  </si>
  <si>
    <t>Очистка кровли от снега и наледи</t>
  </si>
  <si>
    <t xml:space="preserve"> - диспетчеризация ком приборов учета</t>
  </si>
  <si>
    <t xml:space="preserve"> - прочистка вентиляционных каналов</t>
  </si>
  <si>
    <t xml:space="preserve"> - установка блока питания для теплосчетчиков</t>
  </si>
  <si>
    <t xml:space="preserve"> - ремонт лестничной клетки</t>
  </si>
  <si>
    <t xml:space="preserve"> - обследование дымовых и вентиляционных каналов</t>
  </si>
  <si>
    <t>Прочистка вентиляционных каналов</t>
  </si>
  <si>
    <t>Ремонт дымохода</t>
  </si>
  <si>
    <t xml:space="preserve"> - занализ воды</t>
  </si>
  <si>
    <t xml:space="preserve"> - проверка дымоходов </t>
  </si>
  <si>
    <t xml:space="preserve"> - периодическая проверка вентканалов и дымоходов </t>
  </si>
  <si>
    <t xml:space="preserve"> - провера дымоходов</t>
  </si>
  <si>
    <t xml:space="preserve"> - прочистка дымохода</t>
  </si>
  <si>
    <t>убрала /12*8</t>
  </si>
  <si>
    <t>14924,47 выручка с 2015-2019год</t>
  </si>
  <si>
    <t xml:space="preserve"> - установка дверей</t>
  </si>
  <si>
    <t xml:space="preserve"> - скамейка комфорт</t>
  </si>
  <si>
    <t xml:space="preserve"> - освидетельствование</t>
  </si>
  <si>
    <r>
      <t xml:space="preserve"> 5. Общеэксплуатационные расходы</t>
    </r>
    <r>
      <rPr>
        <i/>
        <sz val="12"/>
        <rFont val="Times New Roman"/>
        <family val="1"/>
        <charset val="204"/>
      </rPr>
      <t>(</t>
    </r>
    <r>
      <rPr>
        <i/>
        <sz val="10"/>
        <rFont val="Times New Roman"/>
        <family val="1"/>
        <charset val="204"/>
      </rPr>
      <t>страхование, аммортизация имущества, ремонт машини оборудования, содержание производственных помещений , оплатиа труда аппарата управления, мед.обслуживание, почтово-телеграфные расходы, программное обеспечение)</t>
    </r>
  </si>
  <si>
    <r>
      <t xml:space="preserve"> - услуги ЕРКЦ </t>
    </r>
    <r>
      <rPr>
        <i/>
        <sz val="10"/>
        <color indexed="8"/>
        <rFont val="Times New Roman"/>
        <family val="1"/>
        <charset val="204"/>
      </rPr>
      <t>(начисление, формирование, печать, конвертирование, доставка ПД…..)</t>
    </r>
  </si>
  <si>
    <r>
      <t xml:space="preserve"> - услуги организаций по приему платежей ( </t>
    </r>
    <r>
      <rPr>
        <i/>
        <sz val="10"/>
        <color indexed="8"/>
        <rFont val="Times New Roman"/>
        <family val="1"/>
        <charset val="204"/>
      </rPr>
      <t>0,8% от суммы платежей</t>
    </r>
    <r>
      <rPr>
        <sz val="12"/>
        <color indexed="8"/>
        <rFont val="Times New Roman"/>
        <family val="1"/>
        <charset val="204"/>
      </rPr>
      <t>)</t>
    </r>
  </si>
  <si>
    <t>- очистка кровли от снега и наледи</t>
  </si>
  <si>
    <t>Установка циркуляционного насоса</t>
  </si>
  <si>
    <t>Покраска объектов благоустройства</t>
  </si>
  <si>
    <t>Восстановление циркуляции ГВС</t>
  </si>
  <si>
    <t>Выручка от управления общим имуществом (начислено)</t>
  </si>
  <si>
    <t xml:space="preserve"> - периодическая проверка дымоходов и вентканалов</t>
  </si>
  <si>
    <t xml:space="preserve"> - герметизация межпанельных швов</t>
  </si>
  <si>
    <t xml:space="preserve"> - освидетельствование  лифтов</t>
  </si>
  <si>
    <t xml:space="preserve"> - установка моноблока КЛШ-КСЛ</t>
  </si>
  <si>
    <t xml:space="preserve"> - услуги по механизированной уборке территории (прочие услуги спецтехники)</t>
  </si>
  <si>
    <t xml:space="preserve"> - укупорка жилого дома</t>
  </si>
  <si>
    <t xml:space="preserve"> - очистка кровли</t>
  </si>
  <si>
    <t xml:space="preserve"> - установка циркуляционного насоса</t>
  </si>
  <si>
    <t xml:space="preserve"> - замена теплообменика </t>
  </si>
  <si>
    <t xml:space="preserve"> - устранение засоров</t>
  </si>
  <si>
    <t xml:space="preserve"> - очистка кровель от снега и наледи</t>
  </si>
  <si>
    <t xml:space="preserve"> - устанока модемов</t>
  </si>
  <si>
    <t xml:space="preserve"> - техническое обслуживание ИТП</t>
  </si>
  <si>
    <t>Выручка по диагонстированию ВДГО</t>
  </si>
  <si>
    <t xml:space="preserve"> - изготовлеие техпаспорта</t>
  </si>
  <si>
    <t xml:space="preserve"> - техническое обслуживание узла учета </t>
  </si>
  <si>
    <t xml:space="preserve"> - установка насоса</t>
  </si>
  <si>
    <t>убрали декабрь</t>
  </si>
  <si>
    <t xml:space="preserve"> - изготовление технического паспорта</t>
  </si>
  <si>
    <t xml:space="preserve"> - ремонт мешп. Швов</t>
  </si>
  <si>
    <t xml:space="preserve"> - обследование трубопроводов канализации</t>
  </si>
  <si>
    <t xml:space="preserve"> - установка пластиковой двери</t>
  </si>
  <si>
    <t xml:space="preserve"> - текущий ремонт автоматизированного узла управления системой отопления</t>
  </si>
  <si>
    <t xml:space="preserve"> -  обслуживание ВДГО</t>
  </si>
  <si>
    <t xml:space="preserve"> - техническое обслуживание индивидуального теплового пункта</t>
  </si>
  <si>
    <t xml:space="preserve"> - техническое обслуживание учета тепловой энергии</t>
  </si>
  <si>
    <t xml:space="preserve"> - замена деревянных оконных блоков на пластиковые</t>
  </si>
  <si>
    <t xml:space="preserve"> - благоустройство </t>
  </si>
  <si>
    <t>Отчет управляющей компании по содержанию и ремонту</t>
  </si>
  <si>
    <t xml:space="preserve"> -  техническое обслуживание приборов автоматического регулирования</t>
  </si>
  <si>
    <t xml:space="preserve"> - обслуживание АППЗ и ДУ</t>
  </si>
  <si>
    <t xml:space="preserve"> - Установка вытозапчастей </t>
  </si>
  <si>
    <t xml:space="preserve"> - дигностика ВДГО</t>
  </si>
  <si>
    <t xml:space="preserve"> - сантехнические работы </t>
  </si>
  <si>
    <t xml:space="preserve"> - замена крана</t>
  </si>
  <si>
    <t xml:space="preserve"> - услуги ВДГО (обслуживание, диагностика)</t>
  </si>
  <si>
    <t xml:space="preserve"> - текущий ремонт КНС</t>
  </si>
  <si>
    <t xml:space="preserve"> - общестроительные</t>
  </si>
  <si>
    <t xml:space="preserve">Ремонт оконных коробок </t>
  </si>
  <si>
    <t>за 2024 год</t>
  </si>
  <si>
    <t>ул. Левитана дом 15</t>
  </si>
  <si>
    <t>ул. Левитана дом 21</t>
  </si>
  <si>
    <t>ул. Левитана дом 37</t>
  </si>
  <si>
    <t>ул. Левитана дом 39</t>
  </si>
  <si>
    <t>ул. Левитана дом 39/А</t>
  </si>
  <si>
    <t>ул. Левитана дом 41/Б</t>
  </si>
  <si>
    <t>ул. Левитана дом 7/А</t>
  </si>
  <si>
    <t>ул. Левитана дом 9/А</t>
  </si>
  <si>
    <t>ул. Мусы Джалиля дом 4</t>
  </si>
  <si>
    <t>ул. Новороссийская дом 4</t>
  </si>
  <si>
    <t>ул. Новороссийская дом 6</t>
  </si>
  <si>
    <t>ул. Рядовая дом 10</t>
  </si>
  <si>
    <t>ул. Рядовая дом 12</t>
  </si>
  <si>
    <t>ул. Рядовая дом 13</t>
  </si>
  <si>
    <t>ул. Рядовая дом 15</t>
  </si>
  <si>
    <t>ул. Рядовая дом 3</t>
  </si>
  <si>
    <t>ул. Рядовая дом 9</t>
  </si>
  <si>
    <t>ул. Таллинская дом 16</t>
  </si>
  <si>
    <t>ул. Таллинская дом 3/Б</t>
  </si>
  <si>
    <t>ул. Центральная дом 14/А</t>
  </si>
  <si>
    <t>ул. Центральная дом 22/А</t>
  </si>
  <si>
    <t>ул. Центральная дом 40</t>
  </si>
  <si>
    <t>остаток на 01.01.2024</t>
  </si>
  <si>
    <t xml:space="preserve"> - электроиспытания электроустановок потребителей</t>
  </si>
  <si>
    <t xml:space="preserve"> - ремонт и поверка ОДПУ</t>
  </si>
  <si>
    <t xml:space="preserve"> - диспетчеризация ком.приборов учета</t>
  </si>
  <si>
    <t xml:space="preserve"> - установка циркуляционногго насоса</t>
  </si>
  <si>
    <t xml:space="preserve"> - техническое обслуживание ВДГО</t>
  </si>
  <si>
    <t xml:space="preserve"> -  электроиспытания электроустановок потребителей</t>
  </si>
  <si>
    <t xml:space="preserve"> - диспетчеризация ком.приборов учета </t>
  </si>
  <si>
    <t xml:space="preserve"> - обслуживание УАР</t>
  </si>
  <si>
    <t xml:space="preserve"> -  диспетчеризация ком.приборов учета</t>
  </si>
  <si>
    <t xml:space="preserve"> - ремонт контроллера данфос</t>
  </si>
  <si>
    <t xml:space="preserve"> - техническое обслуживание узлов учета тепловой энергии</t>
  </si>
  <si>
    <t xml:space="preserve"> - дтспетчеризация ком.приборов учета</t>
  </si>
  <si>
    <t xml:space="preserve"> - диспетчеризация ком. приборов учета</t>
  </si>
  <si>
    <t xml:space="preserve"> - элекроиспытания электроустановок потребителей</t>
  </si>
  <si>
    <t xml:space="preserve"> - ремон и поверка ОДПУ</t>
  </si>
  <si>
    <t xml:space="preserve"> - метрологическая проверка приборов УУТЭ</t>
  </si>
  <si>
    <t>реестр</t>
  </si>
  <si>
    <t xml:space="preserve"> - установка урн</t>
  </si>
  <si>
    <t xml:space="preserve"> - кронирование деревьев</t>
  </si>
  <si>
    <t xml:space="preserve">  - утепление фасада </t>
  </si>
  <si>
    <t xml:space="preserve"> - ремонт контейнерной площадки</t>
  </si>
  <si>
    <t xml:space="preserve"> -  ремонт кровли</t>
  </si>
  <si>
    <t xml:space="preserve">                              И.о. директора                                                                                    А.К. Шамсутдинов                                                                                                        </t>
  </si>
  <si>
    <t xml:space="preserve">                          И.о.директора                                                                                                      А.К. Шамсутдинов                                                                                                                            </t>
  </si>
  <si>
    <t>И.о.директора                                                                         А.К. Шамсутдинов</t>
  </si>
  <si>
    <t xml:space="preserve">                              И.о.директора                                                                                               А.К. Шамсутдинов                                                                                          </t>
  </si>
  <si>
    <t>Выручка по содержанию жилых и нежилых помещений (начислено)</t>
  </si>
  <si>
    <t>Ремонт сту</t>
  </si>
  <si>
    <t xml:space="preserve"> - запуск ЦО</t>
  </si>
  <si>
    <t xml:space="preserve"> - запуск системы  ЦО</t>
  </si>
  <si>
    <t>Выручка капреморнт лифтов</t>
  </si>
  <si>
    <t>ул. 1-я Строителей дом 42</t>
  </si>
  <si>
    <t>ул. 1-я Строителей дом 44</t>
  </si>
  <si>
    <t>ул. 1-я Строителей дом 46</t>
  </si>
  <si>
    <t>ул. Альшеевская дом 10</t>
  </si>
  <si>
    <t>ул. Альшеевская дом 12</t>
  </si>
  <si>
    <t>ул. Альшеевская дом 12/А</t>
  </si>
  <si>
    <t>ул. Альшеевская дом 14</t>
  </si>
  <si>
    <t>ул. Альшеевская дом 14/А</t>
  </si>
  <si>
    <t>ул. Альшеевская дом 15</t>
  </si>
  <si>
    <t>ул. Альшеевская дом 20/А</t>
  </si>
  <si>
    <t>ул. Аургазинская дом 8</t>
  </si>
  <si>
    <t>ул. Грозненская дом 67/1</t>
  </si>
  <si>
    <t>ул. Грозненская дом 67/2</t>
  </si>
  <si>
    <t>ул. Грозненская дом 67/3</t>
  </si>
  <si>
    <t>ул. Грозненская дом 67/4</t>
  </si>
  <si>
    <t>ул. Грозненская дом 67/5</t>
  </si>
  <si>
    <t>ул. Грозненская дом 69/7</t>
  </si>
  <si>
    <t>ул. Дагестанская дом 11</t>
  </si>
  <si>
    <t>ул. Дагестанская дом 11/1</t>
  </si>
  <si>
    <t>ул. Дагестанская дом 13</t>
  </si>
  <si>
    <t>ул. Дагестанская дом 15</t>
  </si>
  <si>
    <t>ул. Дагестанская дом 17</t>
  </si>
  <si>
    <t>ул. Дагестанская дом 19</t>
  </si>
  <si>
    <t>ул. Дагестанская дом 27</t>
  </si>
  <si>
    <t>ул. Дагестанская дом 31</t>
  </si>
  <si>
    <t>ул. Дагестанская дом 5</t>
  </si>
  <si>
    <t>ул. Дагестанская дом 7</t>
  </si>
  <si>
    <t>ул. Дагестанская дом 9</t>
  </si>
  <si>
    <t>ул. Дагестанская дом 9/1</t>
  </si>
  <si>
    <t>ул. Левитана дом 13</t>
  </si>
  <si>
    <t>ул. Левитана дом 14/1</t>
  </si>
  <si>
    <t>ул. Левитана дом 14/2</t>
  </si>
  <si>
    <t>ул. Левитана дом 14/3</t>
  </si>
  <si>
    <t>ул. Левитана дом 14/5</t>
  </si>
  <si>
    <t>ул. Левитана дом 14/6</t>
  </si>
  <si>
    <t>ул. Левитана дом 17</t>
  </si>
  <si>
    <t>ул. Левитана дом 19</t>
  </si>
  <si>
    <t>ул. Левитана дом 20</t>
  </si>
  <si>
    <t>ул. Левитана дом 21/А</t>
  </si>
  <si>
    <t>ул. Левитана дом 22</t>
  </si>
  <si>
    <t>ул. Левитана дом 22/2</t>
  </si>
  <si>
    <t>ул. Левитана дом 23</t>
  </si>
  <si>
    <t>ул. Левитана дом 3</t>
  </si>
  <si>
    <t>ул. Левитана дом 36</t>
  </si>
  <si>
    <t>ул. Левитана дом 41</t>
  </si>
  <si>
    <t>ул. Левитана дом 41/А</t>
  </si>
  <si>
    <t>ул. Левитана дом 43</t>
  </si>
  <si>
    <t>ул. Левитана дом 43/А</t>
  </si>
  <si>
    <t>ул. Левитана дом 5</t>
  </si>
  <si>
    <t>ул. Левитана дом 7</t>
  </si>
  <si>
    <t>ул. Левитана дом 71</t>
  </si>
  <si>
    <t>ул. Левитана дом 8</t>
  </si>
  <si>
    <t>ул. Левитана дом 9</t>
  </si>
  <si>
    <t>ул. Локомотивная дом 2</t>
  </si>
  <si>
    <t>ул. Локомотивная дом 26</t>
  </si>
  <si>
    <t>ул. Локомотивная дом 4</t>
  </si>
  <si>
    <t>ул. Локомотивная дом 6</t>
  </si>
  <si>
    <t>ул. Магистральная дом 12/1</t>
  </si>
  <si>
    <t>ул. Магистральная дом 17</t>
  </si>
  <si>
    <t>ул. Магистральная дом 20/1</t>
  </si>
  <si>
    <t>ул. Магистральная дом 27</t>
  </si>
  <si>
    <t>ул. Магистральная дом 36</t>
  </si>
  <si>
    <t>ул. Магистральная дом 6</t>
  </si>
  <si>
    <t>ул. Магистральная дом 7</t>
  </si>
  <si>
    <t>ул. Магистральная дом 7/A</t>
  </si>
  <si>
    <t>ул. Магистральная дом 9</t>
  </si>
  <si>
    <t>ул. Магистральная дом 9/A</t>
  </si>
  <si>
    <t>ул. Минская дом 58</t>
  </si>
  <si>
    <t>ул. Мусоргского дом 11</t>
  </si>
  <si>
    <t>ул. Мусоргского дом 13</t>
  </si>
  <si>
    <t>ул. Мусоргского дом 15</t>
  </si>
  <si>
    <t>ул. Мусоргского дом 15/А</t>
  </si>
  <si>
    <t>ул. Мусоргского дом 17</t>
  </si>
  <si>
    <t>ул. Мусоргского дом 19/1</t>
  </si>
  <si>
    <t>ул. Мусоргского дом 19/А</t>
  </si>
  <si>
    <t>ул. Мусоргского дом 21</t>
  </si>
  <si>
    <t>ул. Мусоргского дом 21/1</t>
  </si>
  <si>
    <t>ул. Мусоргского дом 23</t>
  </si>
  <si>
    <t>ул. Мусоргского дом 25</t>
  </si>
  <si>
    <t>ул. Мусоргского дом 25/1</t>
  </si>
  <si>
    <t>ул. Мусоргского дом 7</t>
  </si>
  <si>
    <t>ул. Мусоргского дом 9</t>
  </si>
  <si>
    <t>ул. Мусоргского дом 9/А</t>
  </si>
  <si>
    <t>ул. Мусы Джалиля дом 10</t>
  </si>
  <si>
    <t>ул. Мусы Джалиля дом 5</t>
  </si>
  <si>
    <t>ул. Мусы Джалиля дом 6</t>
  </si>
  <si>
    <t>ул. Мусы Джалиля дом 64</t>
  </si>
  <si>
    <t>ул. Мусы Джалиля дом 66</t>
  </si>
  <si>
    <t>ул. Мусы Джалиля дом 68/1</t>
  </si>
  <si>
    <t>ул. Мусы Джалиля дом 74</t>
  </si>
  <si>
    <t>ул. Мусы Джалиля дом 74/3</t>
  </si>
  <si>
    <t>ул. Мусы Джалиля дом 8</t>
  </si>
  <si>
    <t>ул. Новороссийская дом 10</t>
  </si>
  <si>
    <t>ул. Новороссийская дом 2</t>
  </si>
  <si>
    <t>ул. Новороссийская дом 8</t>
  </si>
  <si>
    <t>ул. Островского дом 16/1</t>
  </si>
  <si>
    <t>ул. Островского дом 18/1</t>
  </si>
  <si>
    <t>ул. Правды дом 1</t>
  </si>
  <si>
    <t>ул. Правды дом 10</t>
  </si>
  <si>
    <t>ул. Правды дом 10/А</t>
  </si>
  <si>
    <t>ул. Правды дом 11</t>
  </si>
  <si>
    <t>ул. Правды дом 12</t>
  </si>
  <si>
    <t>ул. Правды дом 13</t>
  </si>
  <si>
    <t>ул. Правды дом 15</t>
  </si>
  <si>
    <t>ул. Правды дом 18</t>
  </si>
  <si>
    <t>ул. Правды дом 18/1</t>
  </si>
  <si>
    <t>ул. Правды дом 18/2</t>
  </si>
  <si>
    <t>ул. Правды дом 18/3</t>
  </si>
  <si>
    <t>ул. Правды дом 2</t>
  </si>
  <si>
    <t>ул. Правды дом 20</t>
  </si>
  <si>
    <t>ул. Правды дом 20/1</t>
  </si>
  <si>
    <t>ул. Правды дом 20/2</t>
  </si>
  <si>
    <t>ул. Правды дом 21</t>
  </si>
  <si>
    <t>ул. Правды дом 23</t>
  </si>
  <si>
    <t>ул. Правды дом 25</t>
  </si>
  <si>
    <t>ул. Правды дом 25/1</t>
  </si>
  <si>
    <t>ул. Правды дом 25/2</t>
  </si>
  <si>
    <t>ул. Правды дом 3</t>
  </si>
  <si>
    <t>ул. Правды дом 31/1</t>
  </si>
  <si>
    <t>ул. Правды дом 37/1</t>
  </si>
  <si>
    <t>ул. Правды дом 4</t>
  </si>
  <si>
    <t>ул. Правды дом 4/1</t>
  </si>
  <si>
    <t>ул. Правды дом 6</t>
  </si>
  <si>
    <t>ул. Правды дом 6/А</t>
  </si>
  <si>
    <t>ул. Правды дом 8</t>
  </si>
  <si>
    <t>ул. Правды дом 8/1</t>
  </si>
  <si>
    <t>ул. Правды дом 8/А</t>
  </si>
  <si>
    <t>ул. Рядовая дом 11</t>
  </si>
  <si>
    <t>ул. Рядовая дом 2</t>
  </si>
  <si>
    <t>ул. Рядовая дом 3/1</t>
  </si>
  <si>
    <t>ул. Рядовая дом 5</t>
  </si>
  <si>
    <t>ул. Рядовая дом 5/1</t>
  </si>
  <si>
    <t>ул. Рядовая дом 7</t>
  </si>
  <si>
    <t>ул. Рядовая дом 7/1</t>
  </si>
  <si>
    <t>ул. Таллинская дом 14</t>
  </si>
  <si>
    <t>ул. Таллинская дом 18</t>
  </si>
  <si>
    <t>ул. Таллинская дом 2/1</t>
  </si>
  <si>
    <t>ул. Таллинская дом 20</t>
  </si>
  <si>
    <t>ул. Таллинская дом 21</t>
  </si>
  <si>
    <t>ул. Таллинская дом 22</t>
  </si>
  <si>
    <t>ул. Таллинская дом 23</t>
  </si>
  <si>
    <t>ул. Таллинская дом 24</t>
  </si>
  <si>
    <t>ул. Таллинская дом 24/1</t>
  </si>
  <si>
    <t>ул. Таллинская дом 26</t>
  </si>
  <si>
    <t>ул. Таллинская дом 26/1</t>
  </si>
  <si>
    <t>ул. Таллинская дом 28</t>
  </si>
  <si>
    <t>ул. Таллинская дом 28/1</t>
  </si>
  <si>
    <t>ул. Таллинская дом 3/1</t>
  </si>
  <si>
    <t>ул. Таллинская дом 4</t>
  </si>
  <si>
    <t>ул. Таллинская дом 6</t>
  </si>
  <si>
    <t>ул. Таллинская дом 7</t>
  </si>
  <si>
    <t>ул. Ухтомского дом 11</t>
  </si>
  <si>
    <t>ул. Ухтомского дом 12</t>
  </si>
  <si>
    <t>ул. Ухтомского дом 16</t>
  </si>
  <si>
    <t>ул. Ухтомского дом 21</t>
  </si>
  <si>
    <t>ул. Ухтомского дом 22</t>
  </si>
  <si>
    <t>ул. Ухтомского дом 23</t>
  </si>
  <si>
    <t>ул. Ухтомского дом 24</t>
  </si>
  <si>
    <t>ул. Ухтомского дом 26</t>
  </si>
  <si>
    <t>ул. Ухтомского дом 26/2</t>
  </si>
  <si>
    <t>ул. Ухтомского дом 28</t>
  </si>
  <si>
    <t>ул. Ухтомского дом 30</t>
  </si>
  <si>
    <t>ул. Ухтомского дом 30/2</t>
  </si>
  <si>
    <t>ул. Ухтомского дом 5</t>
  </si>
  <si>
    <t>ул. Центральная дом 1</t>
  </si>
  <si>
    <t>ул. Центральная дом 1/2</t>
  </si>
  <si>
    <t>ул. Центральная дом 10</t>
  </si>
  <si>
    <t>ул. Центральная дом 12</t>
  </si>
  <si>
    <t>ул. Центральная дом 12/А</t>
  </si>
  <si>
    <t>ул. Центральная дом 14</t>
  </si>
  <si>
    <t>ул. Центральная дом 16</t>
  </si>
  <si>
    <t>ул. Центральная дом 18/1</t>
  </si>
  <si>
    <t>ул. Центральная дом 2</t>
  </si>
  <si>
    <t>ул. Центральная дом 22</t>
  </si>
  <si>
    <t>ул. Центральная дом 28</t>
  </si>
  <si>
    <t>ул. Центральная дом 3</t>
  </si>
  <si>
    <t>ул. Центральная дом 30</t>
  </si>
  <si>
    <t>ул. Центральная дом 31/1</t>
  </si>
  <si>
    <t>ул. Центральная дом 34</t>
  </si>
  <si>
    <t>ул. Центральная дом 38</t>
  </si>
  <si>
    <t>ул. Центральная дом 4</t>
  </si>
  <si>
    <t>ул. Центральная дом 4/А</t>
  </si>
  <si>
    <t>ул. Центральная дом 42</t>
  </si>
  <si>
    <t>ул. Центральная дом 44</t>
  </si>
  <si>
    <t>ул. Центральная дом 51</t>
  </si>
  <si>
    <t>ул. Центральная дом 6</t>
  </si>
  <si>
    <t>ул. Центральная дом 6/1</t>
  </si>
  <si>
    <t>ул. Центральная дом 8</t>
  </si>
  <si>
    <t>Ул. Мусоргского дом 13/А</t>
  </si>
  <si>
    <t>ул. Мусоргского дом 13/а</t>
  </si>
  <si>
    <t>ул. Таллинская дом 21/А</t>
  </si>
  <si>
    <t>ул. Таллинская дом 23/А</t>
  </si>
  <si>
    <t>ул. Таллинская дом 3/А</t>
  </si>
  <si>
    <t>ул. Туринская дом 2/А</t>
  </si>
  <si>
    <t>ул. Мусоргского дом 19/б</t>
  </si>
  <si>
    <t>ул. Таллинская дом 23/Б</t>
  </si>
  <si>
    <t>ул. Туринская дом 2/Б</t>
  </si>
  <si>
    <t>ул. Юматовская дом 2/Б</t>
  </si>
  <si>
    <t xml:space="preserve">                          И.о.директора                                                                                         А.К. Шамсутдинов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</si>
</sst>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_р_._-;\-* #,##0.00_р_._-;_-* &quot;-&quot;??_р_._-;_-@_-"/>
    <numFmt numFmtId="165" formatCode="0.0"/>
    <numFmt numFmtId="166" formatCode="_-* #,##0.00\ _₽_-;\-* #,##0.00\ _₽_-;_-* &quot;-&quot;??\ _₽_-;_-@_-"/>
  </numFmts>
  <fonts count="47" x14ac:knownFonts="1">
    <font>
      <sz val="10"/>
      <color indexed="8"/>
      <name val="arial"/>
      <charset val="1"/>
    </font>
    <font>
      <b/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8"/>
      <name val="Arial"/>
      <family val="2"/>
    </font>
    <font>
      <b/>
      <sz val="13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i/>
      <u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b/>
      <i/>
      <sz val="11"/>
      <name val="Arial Cyr"/>
      <charset val="204"/>
    </font>
    <font>
      <b/>
      <i/>
      <sz val="12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9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Calibri"/>
      <family val="2"/>
    </font>
    <font>
      <i/>
      <sz val="10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i/>
      <u/>
      <sz val="12"/>
      <color indexed="8"/>
      <name val="Times New Roman"/>
      <family val="1"/>
      <charset val="204"/>
    </font>
    <font>
      <b/>
      <i/>
      <sz val="10"/>
      <color indexed="8"/>
      <name val="Arial"/>
      <family val="2"/>
      <charset val="204"/>
    </font>
    <font>
      <b/>
      <i/>
      <sz val="11"/>
      <color indexed="8"/>
      <name val="Arial Cyr"/>
      <charset val="204"/>
    </font>
    <font>
      <b/>
      <i/>
      <sz val="12"/>
      <color indexed="8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i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3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i/>
      <sz val="11"/>
      <color indexed="8"/>
      <name val="Arial Cyr"/>
      <charset val="204"/>
    </font>
    <font>
      <b/>
      <i/>
      <sz val="11"/>
      <color indexed="8"/>
      <name val="Times New Roman"/>
      <family val="1"/>
      <charset val="204"/>
    </font>
    <font>
      <sz val="10"/>
      <color indexed="10"/>
      <name val="Arial"/>
      <family val="2"/>
      <charset val="204"/>
    </font>
    <font>
      <sz val="12"/>
      <color indexed="10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0"/>
      <name val="Arial"/>
      <family val="2"/>
      <charset val="204"/>
    </font>
    <font>
      <sz val="11"/>
      <color indexed="10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sz val="13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44" fillId="0" borderId="0"/>
    <xf numFmtId="0" fontId="12" fillId="0" borderId="0"/>
    <xf numFmtId="0" fontId="3" fillId="0" borderId="0"/>
    <xf numFmtId="9" fontId="19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45" fillId="0" borderId="0" applyFont="0" applyFill="0" applyBorder="0" applyAlignment="0" applyProtection="0"/>
  </cellStyleXfs>
  <cellXfs count="299">
    <xf numFmtId="0" fontId="0" fillId="0" borderId="0" xfId="0"/>
    <xf numFmtId="0" fontId="2" fillId="0" borderId="0" xfId="0" applyFont="1"/>
    <xf numFmtId="0" fontId="0" fillId="0" borderId="1" xfId="0" applyBorder="1"/>
    <xf numFmtId="0" fontId="5" fillId="0" borderId="0" xfId="1" applyFont="1"/>
    <xf numFmtId="0" fontId="7" fillId="0" borderId="0" xfId="1" applyFont="1"/>
    <xf numFmtId="4" fontId="13" fillId="0" borderId="7" xfId="5" applyNumberFormat="1" applyFont="1" applyFill="1" applyBorder="1" applyAlignment="1">
      <alignment horizontal="center" vertical="center" wrapText="1"/>
    </xf>
    <xf numFmtId="4" fontId="13" fillId="0" borderId="8" xfId="5" applyNumberFormat="1" applyFont="1" applyFill="1" applyBorder="1" applyAlignment="1">
      <alignment horizontal="center" vertical="center" wrapText="1"/>
    </xf>
    <xf numFmtId="0" fontId="5" fillId="0" borderId="9" xfId="3" applyFont="1" applyBorder="1" applyAlignment="1">
      <alignment horizontal="left"/>
    </xf>
    <xf numFmtId="4" fontId="14" fillId="2" borderId="10" xfId="1" applyNumberFormat="1" applyFont="1" applyFill="1" applyBorder="1" applyAlignment="1">
      <alignment horizontal="center"/>
    </xf>
    <xf numFmtId="4" fontId="13" fillId="0" borderId="5" xfId="5" applyNumberFormat="1" applyFont="1" applyFill="1" applyBorder="1" applyAlignment="1">
      <alignment horizontal="center" vertical="center" wrapText="1"/>
    </xf>
    <xf numFmtId="4" fontId="13" fillId="0" borderId="10" xfId="5" applyNumberFormat="1" applyFont="1" applyFill="1" applyBorder="1" applyAlignment="1">
      <alignment horizontal="center" vertical="center" wrapText="1"/>
    </xf>
    <xf numFmtId="4" fontId="14" fillId="0" borderId="10" xfId="1" applyNumberFormat="1" applyFont="1" applyBorder="1" applyAlignment="1">
      <alignment horizontal="center"/>
    </xf>
    <xf numFmtId="0" fontId="6" fillId="0" borderId="9" xfId="3" applyFont="1" applyBorder="1" applyAlignment="1">
      <alignment horizontal="left"/>
    </xf>
    <xf numFmtId="4" fontId="15" fillId="2" borderId="10" xfId="1" applyNumberFormat="1" applyFont="1" applyFill="1" applyBorder="1" applyAlignment="1">
      <alignment horizontal="center"/>
    </xf>
    <xf numFmtId="4" fontId="15" fillId="0" borderId="10" xfId="1" applyNumberFormat="1" applyFont="1" applyBorder="1" applyAlignment="1">
      <alignment horizontal="center"/>
    </xf>
    <xf numFmtId="0" fontId="11" fillId="0" borderId="9" xfId="3" applyFont="1" applyBorder="1" applyAlignment="1">
      <alignment horizontal="left" wrapText="1"/>
    </xf>
    <xf numFmtId="4" fontId="16" fillId="2" borderId="10" xfId="1" applyNumberFormat="1" applyFont="1" applyFill="1" applyBorder="1" applyAlignment="1">
      <alignment horizontal="center"/>
    </xf>
    <xf numFmtId="165" fontId="11" fillId="0" borderId="0" xfId="1" applyNumberFormat="1" applyFont="1"/>
    <xf numFmtId="0" fontId="11" fillId="0" borderId="0" xfId="1" applyFont="1"/>
    <xf numFmtId="49" fontId="5" fillId="0" borderId="9" xfId="3" applyNumberFormat="1" applyFont="1" applyBorder="1" applyAlignment="1">
      <alignment horizontal="left" wrapText="1"/>
    </xf>
    <xf numFmtId="0" fontId="18" fillId="2" borderId="1" xfId="1" applyFont="1" applyFill="1" applyBorder="1" applyAlignment="1">
      <alignment wrapText="1"/>
    </xf>
    <xf numFmtId="166" fontId="18" fillId="2" borderId="1" xfId="6" applyFont="1" applyFill="1" applyBorder="1" applyAlignment="1"/>
    <xf numFmtId="0" fontId="18" fillId="2" borderId="1" xfId="1" applyFont="1" applyFill="1" applyBorder="1" applyAlignment="1">
      <alignment horizontal="center" vertical="center"/>
    </xf>
    <xf numFmtId="4" fontId="13" fillId="0" borderId="12" xfId="5" applyNumberFormat="1" applyFont="1" applyFill="1" applyBorder="1" applyAlignment="1">
      <alignment horizontal="center" vertical="center" wrapText="1"/>
    </xf>
    <xf numFmtId="4" fontId="13" fillId="0" borderId="13" xfId="5" applyNumberFormat="1" applyFont="1" applyFill="1" applyBorder="1" applyAlignment="1">
      <alignment horizontal="center" vertical="center" wrapText="1"/>
    </xf>
    <xf numFmtId="49" fontId="5" fillId="0" borderId="9" xfId="3" applyNumberFormat="1" applyFont="1" applyBorder="1" applyAlignment="1">
      <alignment horizontal="left"/>
    </xf>
    <xf numFmtId="0" fontId="5" fillId="0" borderId="10" xfId="1" applyFont="1" applyBorder="1" applyAlignment="1">
      <alignment horizontal="left" vertical="center" wrapText="1"/>
    </xf>
    <xf numFmtId="4" fontId="13" fillId="2" borderId="10" xfId="5" applyNumberFormat="1" applyFont="1" applyFill="1" applyBorder="1" applyAlignment="1">
      <alignment horizontal="center" vertical="center" wrapText="1"/>
    </xf>
    <xf numFmtId="2" fontId="13" fillId="0" borderId="10" xfId="5" applyNumberFormat="1" applyFont="1" applyFill="1" applyBorder="1" applyAlignment="1">
      <alignment horizontal="center" vertical="center" wrapText="1"/>
    </xf>
    <xf numFmtId="4" fontId="13" fillId="2" borderId="10" xfId="1" applyNumberFormat="1" applyFont="1" applyFill="1" applyBorder="1" applyAlignment="1">
      <alignment horizontal="center" vertical="center" wrapText="1"/>
    </xf>
    <xf numFmtId="3" fontId="13" fillId="0" borderId="5" xfId="5" applyNumberFormat="1" applyFont="1" applyFill="1" applyBorder="1" applyAlignment="1">
      <alignment horizontal="center" vertical="center" wrapText="1"/>
    </xf>
    <xf numFmtId="4" fontId="13" fillId="0" borderId="10" xfId="1" applyNumberFormat="1" applyFont="1" applyBorder="1" applyAlignment="1">
      <alignment horizontal="center" vertical="center" wrapText="1"/>
    </xf>
    <xf numFmtId="3" fontId="13" fillId="0" borderId="12" xfId="5" applyNumberFormat="1" applyFont="1" applyFill="1" applyBorder="1" applyAlignment="1">
      <alignment horizontal="center" vertical="center" wrapText="1"/>
    </xf>
    <xf numFmtId="49" fontId="11" fillId="0" borderId="9" xfId="3" applyNumberFormat="1" applyFont="1" applyBorder="1" applyAlignment="1">
      <alignment horizontal="left" wrapText="1"/>
    </xf>
    <xf numFmtId="49" fontId="11" fillId="0" borderId="9" xfId="3" applyNumberFormat="1" applyFont="1" applyBorder="1" applyAlignment="1">
      <alignment horizontal="left" vertical="center" wrapText="1"/>
    </xf>
    <xf numFmtId="49" fontId="5" fillId="0" borderId="9" xfId="4" applyNumberFormat="1" applyFont="1" applyFill="1" applyBorder="1"/>
    <xf numFmtId="49" fontId="5" fillId="0" borderId="9" xfId="1" applyNumberFormat="1" applyFont="1" applyBorder="1"/>
    <xf numFmtId="49" fontId="11" fillId="0" borderId="9" xfId="3" applyNumberFormat="1" applyFont="1" applyBorder="1" applyAlignment="1">
      <alignment horizontal="left"/>
    </xf>
    <xf numFmtId="49" fontId="11" fillId="0" borderId="15" xfId="3" applyNumberFormat="1" applyFont="1" applyBorder="1" applyAlignment="1">
      <alignment horizontal="justify"/>
    </xf>
    <xf numFmtId="4" fontId="16" fillId="2" borderId="2" xfId="1" applyNumberFormat="1" applyFont="1" applyFill="1" applyBorder="1" applyAlignment="1">
      <alignment horizontal="center"/>
    </xf>
    <xf numFmtId="4" fontId="13" fillId="0" borderId="16" xfId="5" applyNumberFormat="1" applyFont="1" applyFill="1" applyBorder="1" applyAlignment="1">
      <alignment horizontal="center" vertical="center" wrapText="1"/>
    </xf>
    <xf numFmtId="4" fontId="13" fillId="0" borderId="2" xfId="5" applyNumberFormat="1" applyFont="1" applyFill="1" applyBorder="1" applyAlignment="1">
      <alignment horizontal="center" vertical="center" wrapText="1"/>
    </xf>
    <xf numFmtId="49" fontId="11" fillId="0" borderId="2" xfId="3" applyNumberFormat="1" applyFont="1" applyBorder="1" applyAlignment="1">
      <alignment horizontal="justify"/>
    </xf>
    <xf numFmtId="4" fontId="13" fillId="0" borderId="0" xfId="5" applyNumberFormat="1" applyFont="1" applyFill="1" applyBorder="1" applyAlignment="1">
      <alignment horizontal="center" vertical="center" wrapText="1"/>
    </xf>
    <xf numFmtId="49" fontId="11" fillId="0" borderId="17" xfId="3" applyNumberFormat="1" applyFont="1" applyBorder="1" applyAlignment="1">
      <alignment horizontal="justify"/>
    </xf>
    <xf numFmtId="0" fontId="9" fillId="0" borderId="18" xfId="3" applyFont="1" applyBorder="1" applyAlignment="1">
      <alignment horizontal="left" vertical="center" wrapText="1"/>
    </xf>
    <xf numFmtId="4" fontId="16" fillId="0" borderId="2" xfId="1" applyNumberFormat="1" applyFont="1" applyBorder="1" applyAlignment="1">
      <alignment horizontal="center"/>
    </xf>
    <xf numFmtId="49" fontId="11" fillId="0" borderId="0" xfId="3" applyNumberFormat="1" applyFont="1" applyAlignment="1">
      <alignment horizontal="justify"/>
    </xf>
    <xf numFmtId="4" fontId="16" fillId="2" borderId="0" xfId="1" applyNumberFormat="1" applyFont="1" applyFill="1" applyAlignment="1">
      <alignment horizontal="center"/>
    </xf>
    <xf numFmtId="0" fontId="5" fillId="0" borderId="0" xfId="3" applyFont="1" applyAlignment="1">
      <alignment horizontal="left"/>
    </xf>
    <xf numFmtId="0" fontId="5" fillId="2" borderId="0" xfId="1" applyFont="1" applyFill="1"/>
    <xf numFmtId="0" fontId="5" fillId="0" borderId="0" xfId="1" applyFont="1" applyAlignment="1">
      <alignment horizontal="left"/>
    </xf>
    <xf numFmtId="0" fontId="18" fillId="0" borderId="19" xfId="1" applyFont="1" applyBorder="1" applyAlignment="1">
      <alignment horizontal="left"/>
    </xf>
    <xf numFmtId="2" fontId="18" fillId="2" borderId="10" xfId="6" applyNumberFormat="1" applyFont="1" applyFill="1" applyBorder="1" applyAlignment="1">
      <alignment horizontal="center"/>
    </xf>
    <xf numFmtId="0" fontId="22" fillId="0" borderId="0" xfId="1" applyFont="1"/>
    <xf numFmtId="0" fontId="24" fillId="0" borderId="0" xfId="1" applyFont="1"/>
    <xf numFmtId="4" fontId="29" fillId="0" borderId="2" xfId="5" applyNumberFormat="1" applyFont="1" applyFill="1" applyBorder="1" applyAlignment="1">
      <alignment horizontal="center" vertical="center" wrapText="1"/>
    </xf>
    <xf numFmtId="4" fontId="29" fillId="0" borderId="7" xfId="5" applyNumberFormat="1" applyFont="1" applyFill="1" applyBorder="1" applyAlignment="1">
      <alignment horizontal="center" vertical="center" wrapText="1"/>
    </xf>
    <xf numFmtId="0" fontId="22" fillId="0" borderId="9" xfId="3" applyFont="1" applyBorder="1" applyAlignment="1">
      <alignment horizontal="left"/>
    </xf>
    <xf numFmtId="4" fontId="29" fillId="0" borderId="10" xfId="5" applyNumberFormat="1" applyFont="1" applyFill="1" applyBorder="1" applyAlignment="1">
      <alignment horizontal="center" vertical="center" wrapText="1"/>
    </xf>
    <xf numFmtId="4" fontId="29" fillId="0" borderId="12" xfId="5" applyNumberFormat="1" applyFont="1" applyFill="1" applyBorder="1" applyAlignment="1">
      <alignment horizontal="center" vertical="center" wrapText="1"/>
    </xf>
    <xf numFmtId="4" fontId="29" fillId="0" borderId="6" xfId="5" applyNumberFormat="1" applyFont="1" applyFill="1" applyBorder="1" applyAlignment="1">
      <alignment horizontal="center" vertical="center" wrapText="1"/>
    </xf>
    <xf numFmtId="4" fontId="29" fillId="0" borderId="5" xfId="5" applyNumberFormat="1" applyFont="1" applyFill="1" applyBorder="1" applyAlignment="1">
      <alignment horizontal="center" vertical="center" wrapText="1"/>
    </xf>
    <xf numFmtId="4" fontId="29" fillId="0" borderId="20" xfId="5" applyNumberFormat="1" applyFont="1" applyFill="1" applyBorder="1" applyAlignment="1">
      <alignment horizontal="center" vertical="center" wrapText="1"/>
    </xf>
    <xf numFmtId="0" fontId="23" fillId="0" borderId="9" xfId="3" applyFont="1" applyBorder="1" applyAlignment="1">
      <alignment horizontal="left"/>
    </xf>
    <xf numFmtId="4" fontId="29" fillId="0" borderId="3" xfId="5" applyNumberFormat="1" applyFont="1" applyFill="1" applyBorder="1" applyAlignment="1">
      <alignment horizontal="center" vertical="center" wrapText="1"/>
    </xf>
    <xf numFmtId="0" fontId="28" fillId="0" borderId="9" xfId="3" applyFont="1" applyBorder="1" applyAlignment="1">
      <alignment horizontal="left" wrapText="1"/>
    </xf>
    <xf numFmtId="165" fontId="28" fillId="0" borderId="0" xfId="1" applyNumberFormat="1" applyFont="1"/>
    <xf numFmtId="0" fontId="28" fillId="0" borderId="0" xfId="1" applyFont="1"/>
    <xf numFmtId="49" fontId="22" fillId="0" borderId="9" xfId="3" applyNumberFormat="1" applyFont="1" applyBorder="1" applyAlignment="1">
      <alignment horizontal="left" wrapText="1"/>
    </xf>
    <xf numFmtId="4" fontId="14" fillId="3" borderId="10" xfId="1" applyNumberFormat="1" applyFont="1" applyFill="1" applyBorder="1" applyAlignment="1">
      <alignment horizontal="center"/>
    </xf>
    <xf numFmtId="0" fontId="18" fillId="0" borderId="1" xfId="1" applyFont="1" applyBorder="1" applyAlignment="1">
      <alignment horizontal="left"/>
    </xf>
    <xf numFmtId="4" fontId="5" fillId="2" borderId="10" xfId="1" applyNumberFormat="1" applyFont="1" applyFill="1" applyBorder="1" applyAlignment="1">
      <alignment horizontal="center"/>
    </xf>
    <xf numFmtId="4" fontId="29" fillId="0" borderId="13" xfId="5" applyNumberFormat="1" applyFont="1" applyFill="1" applyBorder="1" applyAlignment="1">
      <alignment horizontal="center" vertical="center" wrapText="1"/>
    </xf>
    <xf numFmtId="49" fontId="22" fillId="0" borderId="9" xfId="3" applyNumberFormat="1" applyFont="1" applyBorder="1" applyAlignment="1">
      <alignment horizontal="left"/>
    </xf>
    <xf numFmtId="0" fontId="22" fillId="0" borderId="10" xfId="1" applyFont="1" applyBorder="1" applyAlignment="1">
      <alignment horizontal="left" vertical="center" wrapText="1"/>
    </xf>
    <xf numFmtId="2" fontId="29" fillId="0" borderId="10" xfId="5" applyNumberFormat="1" applyFont="1" applyFill="1" applyBorder="1" applyAlignment="1">
      <alignment horizontal="center" vertical="center" wrapText="1"/>
    </xf>
    <xf numFmtId="4" fontId="14" fillId="2" borderId="10" xfId="1" applyNumberFormat="1" applyFont="1" applyFill="1" applyBorder="1" applyAlignment="1">
      <alignment horizontal="center" vertical="center" wrapText="1"/>
    </xf>
    <xf numFmtId="3" fontId="29" fillId="0" borderId="12" xfId="5" applyNumberFormat="1" applyFont="1" applyFill="1" applyBorder="1" applyAlignment="1">
      <alignment horizontal="center" vertical="center" wrapText="1"/>
    </xf>
    <xf numFmtId="3" fontId="29" fillId="0" borderId="2" xfId="5" applyNumberFormat="1" applyFont="1" applyFill="1" applyBorder="1" applyAlignment="1">
      <alignment horizontal="center" vertical="center" wrapText="1"/>
    </xf>
    <xf numFmtId="3" fontId="29" fillId="0" borderId="3" xfId="5" applyNumberFormat="1" applyFont="1" applyFill="1" applyBorder="1" applyAlignment="1">
      <alignment horizontal="center" vertical="center" wrapText="1"/>
    </xf>
    <xf numFmtId="4" fontId="29" fillId="0" borderId="21" xfId="5" applyNumberFormat="1" applyFont="1" applyFill="1" applyBorder="1" applyAlignment="1">
      <alignment horizontal="center" vertical="center" wrapText="1"/>
    </xf>
    <xf numFmtId="49" fontId="22" fillId="0" borderId="9" xfId="4" applyNumberFormat="1" applyFont="1" applyFill="1" applyBorder="1" applyAlignment="1">
      <alignment wrapText="1"/>
    </xf>
    <xf numFmtId="49" fontId="22" fillId="0" borderId="9" xfId="1" applyNumberFormat="1" applyFont="1" applyBorder="1"/>
    <xf numFmtId="4" fontId="29" fillId="0" borderId="16" xfId="5" applyNumberFormat="1" applyFont="1" applyFill="1" applyBorder="1" applyAlignment="1">
      <alignment horizontal="center" vertical="center" wrapText="1"/>
    </xf>
    <xf numFmtId="4" fontId="29" fillId="0" borderId="22" xfId="5" applyNumberFormat="1" applyFont="1" applyFill="1" applyBorder="1" applyAlignment="1">
      <alignment horizontal="center" vertical="center" wrapText="1"/>
    </xf>
    <xf numFmtId="4" fontId="29" fillId="0" borderId="0" xfId="5" applyNumberFormat="1" applyFont="1" applyFill="1" applyBorder="1" applyAlignment="1">
      <alignment horizontal="center" vertical="center" wrapText="1"/>
    </xf>
    <xf numFmtId="49" fontId="28" fillId="0" borderId="17" xfId="3" applyNumberFormat="1" applyFont="1" applyBorder="1" applyAlignment="1">
      <alignment horizontal="justify"/>
    </xf>
    <xf numFmtId="4" fontId="29" fillId="0" borderId="17" xfId="5" applyNumberFormat="1" applyFont="1" applyFill="1" applyBorder="1" applyAlignment="1">
      <alignment horizontal="center" vertical="center" wrapText="1"/>
    </xf>
    <xf numFmtId="0" fontId="28" fillId="0" borderId="18" xfId="3" applyFont="1" applyBorder="1" applyAlignment="1">
      <alignment horizontal="left" vertical="center" wrapText="1"/>
    </xf>
    <xf numFmtId="49" fontId="28" fillId="0" borderId="0" xfId="3" applyNumberFormat="1" applyFont="1" applyAlignment="1">
      <alignment horizontal="justify"/>
    </xf>
    <xf numFmtId="0" fontId="5" fillId="0" borderId="1" xfId="1" applyFont="1" applyBorder="1" applyAlignment="1">
      <alignment horizontal="left"/>
    </xf>
    <xf numFmtId="166" fontId="5" fillId="2" borderId="1" xfId="6" applyFont="1" applyFill="1" applyBorder="1" applyAlignment="1">
      <alignment horizontal="center"/>
    </xf>
    <xf numFmtId="166" fontId="18" fillId="2" borderId="1" xfId="6" applyFont="1" applyFill="1" applyBorder="1" applyAlignment="1">
      <alignment horizontal="center"/>
    </xf>
    <xf numFmtId="2" fontId="18" fillId="2" borderId="1" xfId="6" applyNumberFormat="1" applyFont="1" applyFill="1" applyBorder="1" applyAlignment="1">
      <alignment horizontal="center"/>
    </xf>
    <xf numFmtId="0" fontId="5" fillId="0" borderId="9" xfId="1" applyFont="1" applyBorder="1" applyAlignment="1">
      <alignment horizontal="left" vertical="center" wrapText="1"/>
    </xf>
    <xf numFmtId="4" fontId="31" fillId="2" borderId="10" xfId="1" applyNumberFormat="1" applyFont="1" applyFill="1" applyBorder="1" applyAlignment="1">
      <alignment horizontal="center"/>
    </xf>
    <xf numFmtId="4" fontId="32" fillId="2" borderId="10" xfId="1" applyNumberFormat="1" applyFont="1" applyFill="1" applyBorder="1" applyAlignment="1">
      <alignment horizontal="center"/>
    </xf>
    <xf numFmtId="4" fontId="31" fillId="0" borderId="10" xfId="1" applyNumberFormat="1" applyFont="1" applyBorder="1" applyAlignment="1">
      <alignment horizontal="center"/>
    </xf>
    <xf numFmtId="0" fontId="22" fillId="2" borderId="9" xfId="3" applyFont="1" applyFill="1" applyBorder="1" applyAlignment="1">
      <alignment horizontal="left"/>
    </xf>
    <xf numFmtId="0" fontId="23" fillId="2" borderId="9" xfId="3" applyFont="1" applyFill="1" applyBorder="1" applyAlignment="1">
      <alignment horizontal="left"/>
    </xf>
    <xf numFmtId="49" fontId="22" fillId="2" borderId="9" xfId="3" applyNumberFormat="1" applyFont="1" applyFill="1" applyBorder="1" applyAlignment="1">
      <alignment horizontal="left" wrapText="1"/>
    </xf>
    <xf numFmtId="0" fontId="22" fillId="2" borderId="10" xfId="1" applyFont="1" applyFill="1" applyBorder="1" applyAlignment="1">
      <alignment horizontal="left" vertical="center" wrapText="1"/>
    </xf>
    <xf numFmtId="49" fontId="5" fillId="2" borderId="9" xfId="3" applyNumberFormat="1" applyFont="1" applyFill="1" applyBorder="1" applyAlignment="1">
      <alignment horizontal="left"/>
    </xf>
    <xf numFmtId="49" fontId="5" fillId="2" borderId="9" xfId="4" applyNumberFormat="1" applyFont="1" applyFill="1" applyBorder="1"/>
    <xf numFmtId="49" fontId="28" fillId="2" borderId="17" xfId="3" applyNumberFormat="1" applyFont="1" applyFill="1" applyBorder="1" applyAlignment="1">
      <alignment horizontal="justify"/>
    </xf>
    <xf numFmtId="0" fontId="28" fillId="2" borderId="18" xfId="3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left"/>
    </xf>
    <xf numFmtId="0" fontId="6" fillId="2" borderId="9" xfId="3" applyFont="1" applyFill="1" applyBorder="1" applyAlignment="1">
      <alignment horizontal="left"/>
    </xf>
    <xf numFmtId="0" fontId="11" fillId="2" borderId="9" xfId="3" applyFont="1" applyFill="1" applyBorder="1" applyAlignment="1">
      <alignment horizontal="left" wrapText="1"/>
    </xf>
    <xf numFmtId="49" fontId="5" fillId="2" borderId="9" xfId="3" applyNumberFormat="1" applyFont="1" applyFill="1" applyBorder="1" applyAlignment="1">
      <alignment horizontal="left" wrapText="1"/>
    </xf>
    <xf numFmtId="0" fontId="5" fillId="2" borderId="10" xfId="1" applyFont="1" applyFill="1" applyBorder="1" applyAlignment="1">
      <alignment horizontal="left" vertical="center" wrapText="1"/>
    </xf>
    <xf numFmtId="49" fontId="11" fillId="2" borderId="9" xfId="3" applyNumberFormat="1" applyFont="1" applyFill="1" applyBorder="1" applyAlignment="1">
      <alignment horizontal="left" wrapText="1"/>
    </xf>
    <xf numFmtId="49" fontId="5" fillId="2" borderId="9" xfId="1" applyNumberFormat="1" applyFont="1" applyFill="1" applyBorder="1"/>
    <xf numFmtId="49" fontId="11" fillId="2" borderId="0" xfId="3" applyNumberFormat="1" applyFont="1" applyFill="1" applyAlignment="1">
      <alignment horizontal="justify"/>
    </xf>
    <xf numFmtId="0" fontId="5" fillId="2" borderId="0" xfId="3" applyFont="1" applyFill="1" applyAlignment="1">
      <alignment horizontal="left"/>
    </xf>
    <xf numFmtId="166" fontId="5" fillId="0" borderId="1" xfId="6" applyFont="1" applyFill="1" applyBorder="1" applyAlignment="1">
      <alignment horizontal="center"/>
    </xf>
    <xf numFmtId="2" fontId="18" fillId="0" borderId="1" xfId="6" applyNumberFormat="1" applyFont="1" applyFill="1" applyBorder="1" applyAlignment="1">
      <alignment horizontal="center"/>
    </xf>
    <xf numFmtId="166" fontId="18" fillId="0" borderId="1" xfId="6" applyFont="1" applyFill="1" applyBorder="1" applyAlignment="1">
      <alignment horizontal="center"/>
    </xf>
    <xf numFmtId="0" fontId="18" fillId="2" borderId="1" xfId="1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4" fontId="16" fillId="0" borderId="10" xfId="1" applyNumberFormat="1" applyFont="1" applyBorder="1" applyAlignment="1">
      <alignment horizontal="center"/>
    </xf>
    <xf numFmtId="4" fontId="13" fillId="2" borderId="5" xfId="5" applyNumberFormat="1" applyFont="1" applyFill="1" applyBorder="1" applyAlignment="1">
      <alignment horizontal="center" vertical="center" wrapText="1"/>
    </xf>
    <xf numFmtId="0" fontId="5" fillId="0" borderId="10" xfId="3" applyFont="1" applyBorder="1" applyAlignment="1">
      <alignment horizontal="left"/>
    </xf>
    <xf numFmtId="0" fontId="6" fillId="0" borderId="10" xfId="3" applyFont="1" applyBorder="1" applyAlignment="1">
      <alignment horizontal="left"/>
    </xf>
    <xf numFmtId="0" fontId="5" fillId="0" borderId="22" xfId="3" applyFont="1" applyBorder="1"/>
    <xf numFmtId="0" fontId="11" fillId="0" borderId="10" xfId="3" applyFont="1" applyBorder="1" applyAlignment="1">
      <alignment horizontal="left" wrapText="1"/>
    </xf>
    <xf numFmtId="49" fontId="5" fillId="0" borderId="10" xfId="3" applyNumberFormat="1" applyFont="1" applyBorder="1" applyAlignment="1">
      <alignment horizontal="left" wrapText="1"/>
    </xf>
    <xf numFmtId="49" fontId="5" fillId="2" borderId="10" xfId="3" applyNumberFormat="1" applyFont="1" applyFill="1" applyBorder="1" applyAlignment="1">
      <alignment horizontal="left" wrapText="1"/>
    </xf>
    <xf numFmtId="49" fontId="5" fillId="0" borderId="10" xfId="3" applyNumberFormat="1" applyFont="1" applyBorder="1" applyAlignment="1">
      <alignment horizontal="left"/>
    </xf>
    <xf numFmtId="4" fontId="5" fillId="0" borderId="0" xfId="1" applyNumberFormat="1" applyFont="1"/>
    <xf numFmtId="0" fontId="5" fillId="2" borderId="9" xfId="1" applyFont="1" applyFill="1" applyBorder="1" applyAlignment="1">
      <alignment horizontal="left" vertical="center" wrapText="1"/>
    </xf>
    <xf numFmtId="4" fontId="14" fillId="0" borderId="10" xfId="1" applyNumberFormat="1" applyFont="1" applyBorder="1" applyAlignment="1">
      <alignment horizontal="center" vertical="center" wrapText="1"/>
    </xf>
    <xf numFmtId="49" fontId="11" fillId="0" borderId="10" xfId="3" applyNumberFormat="1" applyFont="1" applyBorder="1" applyAlignment="1">
      <alignment horizontal="left" wrapText="1"/>
    </xf>
    <xf numFmtId="4" fontId="13" fillId="2" borderId="12" xfId="5" applyNumberFormat="1" applyFont="1" applyFill="1" applyBorder="1" applyAlignment="1">
      <alignment horizontal="center" vertical="center" wrapText="1"/>
    </xf>
    <xf numFmtId="4" fontId="14" fillId="0" borderId="5" xfId="1" applyNumberFormat="1" applyFont="1" applyBorder="1" applyAlignment="1">
      <alignment horizontal="center"/>
    </xf>
    <xf numFmtId="49" fontId="11" fillId="0" borderId="10" xfId="3" applyNumberFormat="1" applyFont="1" applyBorder="1" applyAlignment="1">
      <alignment horizontal="left" vertical="center" wrapText="1"/>
    </xf>
    <xf numFmtId="49" fontId="5" fillId="0" borderId="10" xfId="4" applyNumberFormat="1" applyFont="1" applyFill="1" applyBorder="1"/>
    <xf numFmtId="49" fontId="5" fillId="0" borderId="10" xfId="1" applyNumberFormat="1" applyFont="1" applyBorder="1"/>
    <xf numFmtId="49" fontId="5" fillId="0" borderId="10" xfId="3" applyNumberFormat="1" applyFont="1" applyBorder="1" applyAlignment="1">
      <alignment horizontal="justify"/>
    </xf>
    <xf numFmtId="49" fontId="11" fillId="0" borderId="10" xfId="3" applyNumberFormat="1" applyFont="1" applyBorder="1" applyAlignment="1">
      <alignment horizontal="justify"/>
    </xf>
    <xf numFmtId="49" fontId="5" fillId="0" borderId="13" xfId="3" applyNumberFormat="1" applyFont="1" applyBorder="1"/>
    <xf numFmtId="4" fontId="14" fillId="0" borderId="13" xfId="1" applyNumberFormat="1" applyFont="1" applyBorder="1" applyAlignment="1">
      <alignment horizontal="center"/>
    </xf>
    <xf numFmtId="0" fontId="11" fillId="0" borderId="18" xfId="3" applyFont="1" applyBorder="1" applyAlignment="1">
      <alignment horizontal="left" vertical="center" wrapText="1"/>
    </xf>
    <xf numFmtId="4" fontId="13" fillId="0" borderId="9" xfId="5" applyNumberFormat="1" applyFont="1" applyFill="1" applyBorder="1" applyAlignment="1">
      <alignment horizontal="center" vertical="center" wrapText="1"/>
    </xf>
    <xf numFmtId="166" fontId="33" fillId="0" borderId="10" xfId="6" applyFont="1" applyFill="1" applyBorder="1" applyAlignment="1">
      <alignment horizontal="center"/>
    </xf>
    <xf numFmtId="0" fontId="33" fillId="0" borderId="10" xfId="1" applyFont="1" applyBorder="1" applyAlignment="1">
      <alignment horizontal="left"/>
    </xf>
    <xf numFmtId="0" fontId="33" fillId="0" borderId="1" xfId="1" applyFont="1" applyBorder="1" applyAlignment="1">
      <alignment horizontal="left"/>
    </xf>
    <xf numFmtId="166" fontId="33" fillId="0" borderId="10" xfId="6" applyFont="1" applyFill="1" applyBorder="1" applyAlignment="1"/>
    <xf numFmtId="166" fontId="33" fillId="0" borderId="1" xfId="6" applyFont="1" applyFill="1" applyBorder="1" applyAlignment="1">
      <alignment horizontal="center"/>
    </xf>
    <xf numFmtId="0" fontId="18" fillId="0" borderId="10" xfId="1" applyFont="1" applyBorder="1" applyAlignment="1">
      <alignment horizontal="left"/>
    </xf>
    <xf numFmtId="166" fontId="18" fillId="0" borderId="10" xfId="6" applyFont="1" applyBorder="1" applyAlignment="1"/>
    <xf numFmtId="166" fontId="18" fillId="2" borderId="10" xfId="6" applyFont="1" applyFill="1" applyBorder="1" applyAlignment="1">
      <alignment horizontal="center"/>
    </xf>
    <xf numFmtId="166" fontId="18" fillId="0" borderId="10" xfId="6" applyFont="1" applyFill="1" applyBorder="1" applyAlignment="1">
      <alignment horizontal="center"/>
    </xf>
    <xf numFmtId="4" fontId="37" fillId="2" borderId="5" xfId="5" applyNumberFormat="1" applyFont="1" applyFill="1" applyBorder="1" applyAlignment="1">
      <alignment horizontal="center" vertical="center" wrapText="1"/>
    </xf>
    <xf numFmtId="4" fontId="37" fillId="0" borderId="10" xfId="5" applyNumberFormat="1" applyFont="1" applyFill="1" applyBorder="1" applyAlignment="1">
      <alignment horizontal="center" vertical="center" wrapText="1"/>
    </xf>
    <xf numFmtId="0" fontId="38" fillId="0" borderId="0" xfId="1" applyFont="1"/>
    <xf numFmtId="4" fontId="22" fillId="0" borderId="0" xfId="1" applyNumberFormat="1" applyFont="1"/>
    <xf numFmtId="4" fontId="37" fillId="0" borderId="5" xfId="5" applyNumberFormat="1" applyFont="1" applyFill="1" applyBorder="1" applyAlignment="1">
      <alignment horizontal="center" vertical="center" wrapText="1"/>
    </xf>
    <xf numFmtId="0" fontId="18" fillId="0" borderId="10" xfId="1" applyFont="1" applyBorder="1" applyAlignment="1">
      <alignment wrapText="1"/>
    </xf>
    <xf numFmtId="166" fontId="18" fillId="0" borderId="10" xfId="6" applyFont="1" applyFill="1" applyBorder="1" applyAlignment="1"/>
    <xf numFmtId="4" fontId="32" fillId="0" borderId="10" xfId="1" applyNumberFormat="1" applyFont="1" applyBorder="1" applyAlignment="1">
      <alignment horizontal="center"/>
    </xf>
    <xf numFmtId="4" fontId="14" fillId="0" borderId="10" xfId="2" applyNumberFormat="1" applyFont="1" applyBorder="1" applyAlignment="1">
      <alignment horizontal="center" vertical="top" wrapText="1"/>
    </xf>
    <xf numFmtId="4" fontId="30" fillId="0" borderId="2" xfId="1" applyNumberFormat="1" applyFont="1" applyBorder="1" applyAlignment="1">
      <alignment horizontal="center"/>
    </xf>
    <xf numFmtId="4" fontId="15" fillId="0" borderId="2" xfId="1" applyNumberFormat="1" applyFont="1" applyBorder="1" applyAlignment="1">
      <alignment horizontal="center"/>
    </xf>
    <xf numFmtId="2" fontId="14" fillId="0" borderId="10" xfId="2" applyNumberFormat="1" applyFont="1" applyBorder="1" applyAlignment="1">
      <alignment horizontal="center" vertical="top" wrapText="1"/>
    </xf>
    <xf numFmtId="166" fontId="14" fillId="0" borderId="10" xfId="6" applyFont="1" applyFill="1" applyBorder="1" applyAlignment="1">
      <alignment horizontal="center"/>
    </xf>
    <xf numFmtId="2" fontId="14" fillId="0" borderId="10" xfId="1" applyNumberFormat="1" applyFont="1" applyBorder="1" applyAlignment="1">
      <alignment horizontal="center" vertical="center" wrapText="1"/>
    </xf>
    <xf numFmtId="4" fontId="42" fillId="0" borderId="10" xfId="1" applyNumberFormat="1" applyFont="1" applyBorder="1" applyAlignment="1">
      <alignment horizontal="center"/>
    </xf>
    <xf numFmtId="0" fontId="5" fillId="4" borderId="0" xfId="1" applyFont="1" applyFill="1"/>
    <xf numFmtId="0" fontId="0" fillId="4" borderId="0" xfId="0" applyFill="1"/>
    <xf numFmtId="43" fontId="46" fillId="0" borderId="1" xfId="7" applyFont="1" applyFill="1" applyBorder="1" applyAlignment="1">
      <alignment horizontal="center"/>
    </xf>
    <xf numFmtId="49" fontId="18" fillId="0" borderId="9" xfId="3" applyNumberFormat="1" applyFont="1" applyBorder="1" applyAlignment="1">
      <alignment horizontal="left" wrapText="1"/>
    </xf>
    <xf numFmtId="166" fontId="18" fillId="0" borderId="1" xfId="6" applyFont="1" applyFill="1" applyBorder="1" applyAlignment="1"/>
    <xf numFmtId="2" fontId="14" fillId="0" borderId="23" xfId="1" applyNumberFormat="1" applyFont="1" applyBorder="1" applyAlignment="1">
      <alignment horizontal="center" vertical="center" wrapText="1"/>
    </xf>
    <xf numFmtId="49" fontId="28" fillId="0" borderId="9" xfId="3" applyNumberFormat="1" applyFont="1" applyBorder="1" applyAlignment="1">
      <alignment horizontal="left" wrapText="1"/>
    </xf>
    <xf numFmtId="49" fontId="11" fillId="0" borderId="9" xfId="3" applyNumberFormat="1" applyFont="1" applyBorder="1" applyAlignment="1">
      <alignment horizontal="justify"/>
    </xf>
    <xf numFmtId="49" fontId="5" fillId="0" borderId="14" xfId="3" applyNumberFormat="1" applyFont="1" applyBorder="1"/>
    <xf numFmtId="4" fontId="31" fillId="0" borderId="10" xfId="1" applyNumberFormat="1" applyFont="1" applyBorder="1" applyAlignment="1">
      <alignment horizontal="center" vertical="center" wrapText="1"/>
    </xf>
    <xf numFmtId="4" fontId="41" fillId="0" borderId="2" xfId="6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9" fillId="0" borderId="0" xfId="0" applyFont="1"/>
    <xf numFmtId="0" fontId="0" fillId="5" borderId="0" xfId="0" applyFill="1"/>
    <xf numFmtId="0" fontId="2" fillId="5" borderId="0" xfId="0" applyFont="1" applyFill="1"/>
    <xf numFmtId="0" fontId="6" fillId="0" borderId="0" xfId="3" applyFont="1" applyAlignment="1">
      <alignment horizontal="center"/>
    </xf>
    <xf numFmtId="0" fontId="6" fillId="0" borderId="0" xfId="3" applyFont="1"/>
    <xf numFmtId="0" fontId="8" fillId="0" borderId="0" xfId="3" applyFont="1"/>
    <xf numFmtId="0" fontId="11" fillId="0" borderId="2" xfId="3" applyFont="1" applyBorder="1" applyAlignment="1">
      <alignment horizontal="left" vertical="center" wrapText="1"/>
    </xf>
    <xf numFmtId="4" fontId="9" fillId="0" borderId="2" xfId="1" applyNumberFormat="1" applyFont="1" applyBorder="1" applyAlignment="1">
      <alignment horizontal="center" vertical="center" wrapText="1"/>
    </xf>
    <xf numFmtId="2" fontId="10" fillId="0" borderId="3" xfId="1" applyNumberFormat="1" applyFont="1" applyBorder="1" applyAlignment="1">
      <alignment horizontal="center" vertical="center" wrapText="1"/>
    </xf>
    <xf numFmtId="0" fontId="11" fillId="0" borderId="4" xfId="3" applyFont="1" applyBorder="1" applyAlignment="1">
      <alignment horizontal="left" vertical="center" wrapText="1"/>
    </xf>
    <xf numFmtId="2" fontId="10" fillId="0" borderId="5" xfId="1" applyNumberFormat="1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/>
    </xf>
    <xf numFmtId="4" fontId="5" fillId="0" borderId="6" xfId="1" applyNumberFormat="1" applyFont="1" applyBorder="1"/>
    <xf numFmtId="0" fontId="1" fillId="0" borderId="11" xfId="1" applyFont="1" applyBorder="1"/>
    <xf numFmtId="2" fontId="1" fillId="0" borderId="11" xfId="1" applyNumberFormat="1" applyFont="1" applyBorder="1"/>
    <xf numFmtId="0" fontId="5" fillId="0" borderId="11" xfId="3" applyFont="1" applyBorder="1"/>
    <xf numFmtId="0" fontId="6" fillId="0" borderId="9" xfId="3" applyFont="1" applyBorder="1" applyAlignment="1">
      <alignment horizontal="center"/>
    </xf>
    <xf numFmtId="0" fontId="18" fillId="0" borderId="1" xfId="1" applyFont="1" applyBorder="1" applyAlignment="1">
      <alignment wrapText="1"/>
    </xf>
    <xf numFmtId="49" fontId="5" fillId="0" borderId="9" xfId="3" applyNumberFormat="1" applyFont="1" applyBorder="1" applyAlignment="1">
      <alignment horizontal="justify"/>
    </xf>
    <xf numFmtId="4" fontId="16" fillId="0" borderId="0" xfId="1" applyNumberFormat="1" applyFont="1" applyAlignment="1">
      <alignment horizontal="center"/>
    </xf>
    <xf numFmtId="0" fontId="23" fillId="0" borderId="0" xfId="3" applyFont="1" applyAlignment="1">
      <alignment horizontal="center"/>
    </xf>
    <xf numFmtId="0" fontId="25" fillId="0" borderId="0" xfId="3" applyFont="1"/>
    <xf numFmtId="0" fontId="28" fillId="0" borderId="2" xfId="3" applyFont="1" applyBorder="1" applyAlignment="1">
      <alignment horizontal="left" vertical="center" wrapText="1"/>
    </xf>
    <xf numFmtId="4" fontId="16" fillId="0" borderId="2" xfId="1" applyNumberFormat="1" applyFont="1" applyBorder="1" applyAlignment="1">
      <alignment horizontal="center" vertical="center" wrapText="1"/>
    </xf>
    <xf numFmtId="2" fontId="27" fillId="0" borderId="17" xfId="1" applyNumberFormat="1" applyFont="1" applyBorder="1" applyAlignment="1">
      <alignment horizontal="center" vertical="center" wrapText="1"/>
    </xf>
    <xf numFmtId="2" fontId="27" fillId="0" borderId="3" xfId="1" applyNumberFormat="1" applyFont="1" applyBorder="1" applyAlignment="1">
      <alignment horizontal="center" vertical="center" wrapText="1"/>
    </xf>
    <xf numFmtId="0" fontId="28" fillId="0" borderId="4" xfId="3" applyFont="1" applyBorder="1" applyAlignment="1">
      <alignment horizontal="left" vertical="center" wrapText="1"/>
    </xf>
    <xf numFmtId="2" fontId="27" fillId="0" borderId="5" xfId="1" applyNumberFormat="1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/>
    </xf>
    <xf numFmtId="4" fontId="14" fillId="0" borderId="6" xfId="1" applyNumberFormat="1" applyFont="1" applyBorder="1"/>
    <xf numFmtId="0" fontId="22" fillId="0" borderId="11" xfId="3" applyFont="1" applyBorder="1"/>
    <xf numFmtId="0" fontId="23" fillId="0" borderId="9" xfId="3" applyFont="1" applyBorder="1" applyAlignment="1">
      <alignment horizontal="center"/>
    </xf>
    <xf numFmtId="49" fontId="28" fillId="0" borderId="9" xfId="3" applyNumberFormat="1" applyFont="1" applyBorder="1" applyAlignment="1">
      <alignment horizontal="left" vertical="center" wrapText="1"/>
    </xf>
    <xf numFmtId="49" fontId="28" fillId="0" borderId="9" xfId="3" applyNumberFormat="1" applyFont="1" applyBorder="1" applyAlignment="1">
      <alignment horizontal="left"/>
    </xf>
    <xf numFmtId="49" fontId="22" fillId="0" borderId="9" xfId="3" applyNumberFormat="1" applyFont="1" applyBorder="1" applyAlignment="1">
      <alignment horizontal="justify"/>
    </xf>
    <xf numFmtId="49" fontId="28" fillId="0" borderId="9" xfId="3" applyNumberFormat="1" applyFont="1" applyBorder="1" applyAlignment="1">
      <alignment horizontal="justify"/>
    </xf>
    <xf numFmtId="49" fontId="22" fillId="0" borderId="14" xfId="3" applyNumberFormat="1" applyFont="1" applyBorder="1"/>
    <xf numFmtId="49" fontId="28" fillId="0" borderId="15" xfId="3" applyNumberFormat="1" applyFont="1" applyBorder="1" applyAlignment="1">
      <alignment horizontal="justify"/>
    </xf>
    <xf numFmtId="49" fontId="28" fillId="0" borderId="2" xfId="3" applyNumberFormat="1" applyFont="1" applyBorder="1" applyAlignment="1">
      <alignment horizontal="justify"/>
    </xf>
    <xf numFmtId="0" fontId="22" fillId="0" borderId="0" xfId="3" applyFont="1" applyAlignment="1">
      <alignment horizontal="left"/>
    </xf>
    <xf numFmtId="0" fontId="22" fillId="0" borderId="0" xfId="1" applyFont="1" applyAlignment="1">
      <alignment horizontal="left"/>
    </xf>
    <xf numFmtId="49" fontId="18" fillId="0" borderId="9" xfId="1" applyNumberFormat="1" applyFont="1" applyBorder="1"/>
    <xf numFmtId="4" fontId="22" fillId="0" borderId="1" xfId="1" applyNumberFormat="1" applyFont="1" applyBorder="1" applyAlignment="1">
      <alignment horizontal="center"/>
    </xf>
    <xf numFmtId="4" fontId="26" fillId="0" borderId="2" xfId="1" applyNumberFormat="1" applyFont="1" applyBorder="1" applyAlignment="1">
      <alignment horizontal="center" vertical="center" wrapText="1"/>
    </xf>
    <xf numFmtId="0" fontId="34" fillId="0" borderId="8" xfId="3" applyFont="1" applyBorder="1" applyAlignment="1">
      <alignment horizontal="left" vertical="center" wrapText="1"/>
    </xf>
    <xf numFmtId="2" fontId="35" fillId="0" borderId="3" xfId="1" applyNumberFormat="1" applyFont="1" applyBorder="1" applyAlignment="1">
      <alignment horizontal="center" vertical="center" wrapText="1"/>
    </xf>
    <xf numFmtId="0" fontId="18" fillId="0" borderId="0" xfId="1" applyFont="1"/>
    <xf numFmtId="0" fontId="34" fillId="0" borderId="10" xfId="3" applyFont="1" applyBorder="1" applyAlignment="1">
      <alignment horizontal="left" vertical="center" wrapText="1"/>
    </xf>
    <xf numFmtId="4" fontId="16" fillId="0" borderId="16" xfId="1" applyNumberFormat="1" applyFont="1" applyBorder="1" applyAlignment="1">
      <alignment horizontal="center" vertical="center" wrapText="1"/>
    </xf>
    <xf numFmtId="2" fontId="35" fillId="0" borderId="5" xfId="1" applyNumberFormat="1" applyFont="1" applyBorder="1" applyAlignment="1">
      <alignment horizontal="center" vertical="center" wrapText="1"/>
    </xf>
    <xf numFmtId="0" fontId="6" fillId="0" borderId="8" xfId="3" applyFont="1" applyBorder="1" applyAlignment="1">
      <alignment horizontal="center"/>
    </xf>
    <xf numFmtId="0" fontId="6" fillId="0" borderId="10" xfId="3" applyFont="1" applyBorder="1" applyAlignment="1">
      <alignment horizontal="center"/>
    </xf>
    <xf numFmtId="49" fontId="11" fillId="0" borderId="10" xfId="3" applyNumberFormat="1" applyFont="1" applyBorder="1" applyAlignment="1">
      <alignment horizontal="left"/>
    </xf>
    <xf numFmtId="4" fontId="36" fillId="0" borderId="2" xfId="1" applyNumberFormat="1" applyFont="1" applyBorder="1" applyAlignment="1">
      <alignment horizontal="center" vertical="center" wrapText="1"/>
    </xf>
    <xf numFmtId="4" fontId="36" fillId="0" borderId="16" xfId="1" applyNumberFormat="1" applyFont="1" applyBorder="1" applyAlignment="1">
      <alignment horizontal="center" vertical="center" wrapText="1"/>
    </xf>
    <xf numFmtId="0" fontId="5" fillId="0" borderId="1" xfId="1" applyFont="1" applyBorder="1"/>
    <xf numFmtId="4" fontId="5" fillId="0" borderId="10" xfId="1" applyNumberFormat="1" applyFont="1" applyBorder="1" applyAlignment="1">
      <alignment horizontal="center"/>
    </xf>
    <xf numFmtId="4" fontId="15" fillId="0" borderId="5" xfId="1" applyNumberFormat="1" applyFont="1" applyBorder="1" applyAlignment="1">
      <alignment horizontal="center"/>
    </xf>
    <xf numFmtId="4" fontId="30" fillId="0" borderId="2" xfId="1" applyNumberFormat="1" applyFont="1" applyBorder="1" applyAlignment="1">
      <alignment horizontal="center" vertical="center" wrapText="1"/>
    </xf>
    <xf numFmtId="4" fontId="15" fillId="0" borderId="0" xfId="1" applyNumberFormat="1" applyFont="1" applyAlignment="1">
      <alignment horizontal="center"/>
    </xf>
    <xf numFmtId="4" fontId="16" fillId="0" borderId="5" xfId="1" applyNumberFormat="1" applyFont="1" applyBorder="1" applyAlignment="1">
      <alignment horizontal="center"/>
    </xf>
    <xf numFmtId="4" fontId="16" fillId="0" borderId="16" xfId="1" applyNumberFormat="1" applyFont="1" applyBorder="1" applyAlignment="1">
      <alignment horizontal="center"/>
    </xf>
    <xf numFmtId="0" fontId="11" fillId="0" borderId="22" xfId="3" applyFont="1" applyBorder="1" applyAlignment="1">
      <alignment horizontal="left" vertical="center" wrapText="1"/>
    </xf>
    <xf numFmtId="4" fontId="16" fillId="0" borderId="21" xfId="1" applyNumberFormat="1" applyFont="1" applyBorder="1" applyAlignment="1">
      <alignment horizontal="center"/>
    </xf>
    <xf numFmtId="4" fontId="14" fillId="0" borderId="12" xfId="1" applyNumberFormat="1" applyFont="1" applyBorder="1" applyAlignment="1">
      <alignment horizontal="center"/>
    </xf>
    <xf numFmtId="0" fontId="23" fillId="0" borderId="0" xfId="3" applyFont="1"/>
    <xf numFmtId="49" fontId="22" fillId="0" borderId="10" xfId="1" applyNumberFormat="1" applyFont="1" applyBorder="1"/>
    <xf numFmtId="0" fontId="18" fillId="0" borderId="1" xfId="1" applyFont="1" applyBorder="1" applyAlignment="1">
      <alignment horizontal="left" wrapText="1"/>
    </xf>
    <xf numFmtId="166" fontId="15" fillId="0" borderId="10" xfId="6" applyFont="1" applyFill="1" applyBorder="1" applyAlignment="1">
      <alignment horizontal="center"/>
    </xf>
    <xf numFmtId="4" fontId="24" fillId="0" borderId="0" xfId="1" applyNumberFormat="1" applyFont="1"/>
    <xf numFmtId="0" fontId="18" fillId="0" borderId="19" xfId="1" applyFont="1" applyBorder="1" applyAlignment="1">
      <alignment wrapText="1"/>
    </xf>
    <xf numFmtId="4" fontId="16" fillId="0" borderId="10" xfId="1" applyNumberFormat="1" applyFont="1" applyBorder="1" applyAlignment="1">
      <alignment horizontal="center" wrapText="1"/>
    </xf>
    <xf numFmtId="165" fontId="11" fillId="0" borderId="0" xfId="1" applyNumberFormat="1" applyFont="1" applyAlignment="1">
      <alignment wrapText="1"/>
    </xf>
    <xf numFmtId="0" fontId="11" fillId="0" borderId="0" xfId="1" applyFont="1" applyAlignment="1">
      <alignment wrapText="1"/>
    </xf>
    <xf numFmtId="4" fontId="15" fillId="6" borderId="10" xfId="1" applyNumberFormat="1" applyFont="1" applyFill="1" applyBorder="1" applyAlignment="1">
      <alignment horizontal="center"/>
    </xf>
    <xf numFmtId="166" fontId="40" fillId="6" borderId="22" xfId="6" applyFont="1" applyFill="1" applyBorder="1" applyAlignment="1">
      <alignment horizontal="center"/>
    </xf>
    <xf numFmtId="0" fontId="6" fillId="6" borderId="9" xfId="3" applyFont="1" applyFill="1" applyBorder="1" applyAlignment="1">
      <alignment horizontal="left"/>
    </xf>
    <xf numFmtId="0" fontId="23" fillId="6" borderId="9" xfId="3" applyFont="1" applyFill="1" applyBorder="1" applyAlignment="1">
      <alignment horizontal="left"/>
    </xf>
    <xf numFmtId="0" fontId="6" fillId="6" borderId="10" xfId="3" applyFont="1" applyFill="1" applyBorder="1" applyAlignment="1">
      <alignment horizontal="left"/>
    </xf>
    <xf numFmtId="49" fontId="11" fillId="6" borderId="2" xfId="3" applyNumberFormat="1" applyFont="1" applyFill="1" applyBorder="1" applyAlignment="1">
      <alignment horizontal="justify"/>
    </xf>
    <xf numFmtId="4" fontId="16" fillId="6" borderId="2" xfId="1" applyNumberFormat="1" applyFont="1" applyFill="1" applyBorder="1" applyAlignment="1">
      <alignment horizontal="center"/>
    </xf>
    <xf numFmtId="49" fontId="11" fillId="6" borderId="15" xfId="3" applyNumberFormat="1" applyFont="1" applyFill="1" applyBorder="1" applyAlignment="1">
      <alignment horizontal="justify"/>
    </xf>
    <xf numFmtId="0" fontId="6" fillId="6" borderId="0" xfId="3" applyFont="1" applyFill="1" applyAlignment="1">
      <alignment horizontal="center"/>
    </xf>
    <xf numFmtId="0" fontId="6" fillId="6" borderId="0" xfId="3" applyFont="1" applyFill="1"/>
    <xf numFmtId="2" fontId="10" fillId="0" borderId="24" xfId="1" applyNumberFormat="1" applyFont="1" applyBorder="1" applyAlignment="1">
      <alignment horizontal="center" vertical="center" wrapText="1"/>
    </xf>
    <xf numFmtId="2" fontId="10" fillId="0" borderId="25" xfId="1" applyNumberFormat="1" applyFont="1" applyBorder="1" applyAlignment="1">
      <alignment horizontal="center" vertical="center" wrapText="1"/>
    </xf>
    <xf numFmtId="0" fontId="5" fillId="0" borderId="0" xfId="3" applyFont="1" applyAlignment="1">
      <alignment horizontal="left"/>
    </xf>
    <xf numFmtId="0" fontId="5" fillId="0" borderId="0" xfId="1" applyFont="1" applyAlignment="1">
      <alignment horizontal="left"/>
    </xf>
    <xf numFmtId="0" fontId="4" fillId="0" borderId="0" xfId="3" applyFont="1" applyAlignment="1">
      <alignment horizontal="center" wrapText="1"/>
    </xf>
    <xf numFmtId="0" fontId="4" fillId="0" borderId="0" xfId="3" applyFont="1" applyAlignment="1">
      <alignment horizontal="center"/>
    </xf>
    <xf numFmtId="0" fontId="9" fillId="0" borderId="26" xfId="3" applyFont="1" applyBorder="1" applyAlignment="1">
      <alignment horizontal="center" vertical="center" wrapText="1"/>
    </xf>
    <xf numFmtId="0" fontId="9" fillId="0" borderId="18" xfId="3" applyFont="1" applyBorder="1" applyAlignment="1">
      <alignment horizontal="center" vertical="center" wrapText="1"/>
    </xf>
    <xf numFmtId="0" fontId="9" fillId="0" borderId="21" xfId="1" applyFont="1" applyBorder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2" fontId="27" fillId="0" borderId="24" xfId="1" applyNumberFormat="1" applyFont="1" applyBorder="1" applyAlignment="1">
      <alignment horizontal="center" vertical="center" wrapText="1"/>
    </xf>
    <xf numFmtId="2" fontId="27" fillId="0" borderId="25" xfId="1" applyNumberFormat="1" applyFont="1" applyBorder="1" applyAlignment="1">
      <alignment horizontal="center" vertical="center" wrapText="1"/>
    </xf>
    <xf numFmtId="0" fontId="18" fillId="0" borderId="0" xfId="3" applyFont="1" applyAlignment="1">
      <alignment horizontal="left"/>
    </xf>
    <xf numFmtId="0" fontId="22" fillId="0" borderId="0" xfId="3" applyFont="1" applyAlignment="1">
      <alignment horizontal="left"/>
    </xf>
    <xf numFmtId="0" fontId="22" fillId="0" borderId="0" xfId="1" applyFont="1" applyAlignment="1">
      <alignment horizontal="left"/>
    </xf>
    <xf numFmtId="0" fontId="21" fillId="0" borderId="0" xfId="3" applyFont="1" applyAlignment="1">
      <alignment horizontal="center" wrapText="1"/>
    </xf>
    <xf numFmtId="0" fontId="21" fillId="0" borderId="0" xfId="3" applyFont="1" applyAlignment="1">
      <alignment horizontal="center"/>
    </xf>
    <xf numFmtId="0" fontId="26" fillId="0" borderId="26" xfId="3" applyFont="1" applyBorder="1" applyAlignment="1">
      <alignment horizontal="center" vertical="center" wrapText="1"/>
    </xf>
    <xf numFmtId="0" fontId="26" fillId="0" borderId="18" xfId="3" applyFont="1" applyBorder="1" applyAlignment="1">
      <alignment horizontal="center" vertical="center" wrapText="1"/>
    </xf>
    <xf numFmtId="2" fontId="27" fillId="0" borderId="6" xfId="1" applyNumberFormat="1" applyFont="1" applyBorder="1" applyAlignment="1">
      <alignment horizontal="center" vertical="center" wrapText="1"/>
    </xf>
    <xf numFmtId="2" fontId="27" fillId="0" borderId="20" xfId="1" applyNumberFormat="1" applyFont="1" applyBorder="1" applyAlignment="1">
      <alignment horizontal="center" vertical="center" wrapText="1"/>
    </xf>
    <xf numFmtId="0" fontId="5" fillId="0" borderId="0" xfId="3" applyFont="1" applyAlignment="1">
      <alignment horizontal="center"/>
    </xf>
    <xf numFmtId="0" fontId="22" fillId="0" borderId="0" xfId="1" applyFont="1" applyAlignment="1">
      <alignment horizontal="center"/>
    </xf>
    <xf numFmtId="0" fontId="9" fillId="0" borderId="21" xfId="3" applyFont="1" applyBorder="1" applyAlignment="1">
      <alignment horizontal="center" vertical="center" wrapText="1"/>
    </xf>
    <xf numFmtId="0" fontId="9" fillId="0" borderId="17" xfId="3" applyFont="1" applyBorder="1" applyAlignment="1">
      <alignment horizontal="center" vertical="center" wrapText="1"/>
    </xf>
    <xf numFmtId="0" fontId="9" fillId="0" borderId="27" xfId="1" applyFont="1" applyBorder="1" applyAlignment="1">
      <alignment horizontal="center" vertical="center" wrapText="1"/>
    </xf>
    <xf numFmtId="0" fontId="9" fillId="0" borderId="28" xfId="1" applyFont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5" fillId="4" borderId="0" xfId="1" applyFont="1" applyFill="1" applyAlignment="1">
      <alignment horizontal="center"/>
    </xf>
    <xf numFmtId="0" fontId="5" fillId="0" borderId="22" xfId="3" applyFont="1" applyBorder="1" applyAlignment="1">
      <alignment horizontal="center"/>
    </xf>
    <xf numFmtId="0" fontId="41" fillId="0" borderId="21" xfId="1" applyFont="1" applyBorder="1" applyAlignment="1">
      <alignment horizontal="center" vertical="center" wrapText="1"/>
    </xf>
    <xf numFmtId="0" fontId="41" fillId="0" borderId="17" xfId="1" applyFont="1" applyBorder="1" applyAlignment="1">
      <alignment horizontal="center" vertical="center" wrapText="1"/>
    </xf>
    <xf numFmtId="0" fontId="5" fillId="2" borderId="0" xfId="3" applyFont="1" applyFill="1" applyAlignment="1">
      <alignment horizontal="left"/>
    </xf>
    <xf numFmtId="0" fontId="5" fillId="0" borderId="0" xfId="3" applyFont="1" applyAlignment="1">
      <alignment horizontal="left" vertical="center" wrapText="1"/>
    </xf>
  </cellXfs>
  <cellStyles count="8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_197.2" xfId="3" xr:uid="{00000000-0005-0000-0000-000003000000}"/>
    <cellStyle name="Процентный 2" xfId="4" xr:uid="{00000000-0005-0000-0000-000004000000}"/>
    <cellStyle name="Финансовый" xfId="7" builtinId="3"/>
    <cellStyle name="Финансовый 2" xfId="5" xr:uid="{00000000-0005-0000-0000-000006000000}"/>
    <cellStyle name="Финансовый 3" xfId="6" xr:uid="{00000000-0005-0000-0000-000007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3.xml"/><Relationship Id="rId89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2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87;&#1072;&#1087;&#1082;&#1072;%20&#1086;&#1073;&#1084;&#1077;&#1085;&#1072;\Users\econ\Desktop\9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con\Desktop\2025%20&#1086;&#1090;&#1095;&#1077;&#1090;%20&#1091;&#108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p1-pc\&#1086;&#1073;&#1097;&#1072;&#1103;%20&#1087;&#1072;&#1087;&#1082;&#1072;\&#1055;&#1051;&#1040;&#1053;&#1054;&#1042;&#1054;-&#1069;&#1050;&#1054;&#1053;&#1054;&#1052;&#1048;&#1063;&#1045;&#1057;&#1050;&#1048;&#1049;%20&#1054;&#1058;&#1044;&#1045;&#1051;\12.%20&#1054;&#1090;&#1095;&#1077;&#1090;&#1099;%20&#1052;&#1050;&#1044;\2023\&#1044;&#1077;&#1084;&#1072;%20&#1086;&#1090;&#1095;&#1077;&#1090;&#1099;%20&#1079;&#1072;%202023%20&#1043;.&#1060;\&#1054;&#1090;&#1095;&#1077;&#1090;&#1099;%20&#1087;&#1086;%20&#1046;&#1069;&#1059;%203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p1-pc\&#1086;&#1073;&#1097;&#1072;&#1103;%20&#1087;&#1072;&#1087;&#1082;&#1072;\&#1055;&#1051;&#1040;&#1053;&#1054;&#1042;&#1054;-&#1069;&#1050;&#1054;&#1053;&#1054;&#1052;&#1048;&#1063;&#1045;&#1057;&#1050;&#1048;&#1049;%20&#1054;&#1058;&#1044;&#1045;&#1051;\12.%20&#1054;&#1090;&#1095;&#1077;&#1090;&#1099;%20&#1052;&#1050;&#1044;\2023\&#1044;&#1077;&#1084;&#1072;%20&#1086;&#1090;&#1095;&#1077;&#1090;&#1099;%20&#1079;&#1072;%202023%20&#1043;.&#1060;\Users\econ\Desktop\9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1 тарифы"/>
      <sheetName val="91ОЭР"/>
      <sheetName val="91Лист1"/>
      <sheetName val="91СВОД"/>
      <sheetName val="63тарифы"/>
      <sheetName val="63СВОД"/>
      <sheetName val="34ОЭР"/>
      <sheetName val="34СВОД"/>
      <sheetName val="34тарифы"/>
      <sheetName val="32тарифы"/>
      <sheetName val="32СВОД"/>
      <sheetName val="32 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63">
          <cell r="D163">
            <v>5.3054651733843157</v>
          </cell>
        </row>
        <row r="167">
          <cell r="D167">
            <v>6.0937448826080827</v>
          </cell>
        </row>
        <row r="170">
          <cell r="D170">
            <v>21.548139947094231</v>
          </cell>
        </row>
        <row r="173">
          <cell r="D173">
            <v>1.9626785508615805</v>
          </cell>
        </row>
        <row r="184">
          <cell r="D184">
            <v>0</v>
          </cell>
        </row>
        <row r="187">
          <cell r="D187">
            <v>0.67860601054915659</v>
          </cell>
        </row>
      </sheetData>
      <sheetData sheetId="5" refreshError="1"/>
      <sheetData sheetId="6" refreshError="1">
        <row r="24">
          <cell r="D24">
            <v>46852.216313061894</v>
          </cell>
        </row>
        <row r="36">
          <cell r="D36">
            <v>46314.383620448105</v>
          </cell>
        </row>
        <row r="38">
          <cell r="D38">
            <v>46387.31008724319</v>
          </cell>
        </row>
        <row r="72">
          <cell r="D72">
            <v>76894.882029855638</v>
          </cell>
        </row>
        <row r="137">
          <cell r="D137">
            <v>100270.85324046496</v>
          </cell>
        </row>
        <row r="140">
          <cell r="D140">
            <v>74776.975890014917</v>
          </cell>
        </row>
        <row r="142">
          <cell r="D142">
            <v>61279.502327357099</v>
          </cell>
        </row>
        <row r="143">
          <cell r="D143">
            <v>122176.14070403998</v>
          </cell>
        </row>
        <row r="162">
          <cell r="D162">
            <v>61358.505999718443</v>
          </cell>
        </row>
        <row r="164">
          <cell r="D164">
            <v>46584.819268146559</v>
          </cell>
        </row>
        <row r="165">
          <cell r="D165">
            <v>44327.137400281914</v>
          </cell>
        </row>
        <row r="166">
          <cell r="D166">
            <v>62458.480207211047</v>
          </cell>
        </row>
        <row r="167">
          <cell r="D167">
            <v>46548.35603474902</v>
          </cell>
        </row>
        <row r="194">
          <cell r="D194">
            <v>62707.645635427594</v>
          </cell>
        </row>
        <row r="196">
          <cell r="D196">
            <v>62564.831304620551</v>
          </cell>
        </row>
        <row r="198">
          <cell r="D198">
            <v>62349.090507018416</v>
          </cell>
        </row>
        <row r="203">
          <cell r="D203">
            <v>50003.247399166379</v>
          </cell>
        </row>
        <row r="204">
          <cell r="D204">
            <v>76821.955563060546</v>
          </cell>
        </row>
        <row r="231">
          <cell r="D231">
            <v>52786.6075485123</v>
          </cell>
        </row>
        <row r="247">
          <cell r="D247">
            <v>88636.043183865055</v>
          </cell>
        </row>
      </sheetData>
      <sheetData sheetId="7" refreshError="1"/>
      <sheetData sheetId="8" refreshError="1">
        <row r="163">
          <cell r="D163">
            <v>5.3054651733843157</v>
          </cell>
        </row>
        <row r="164">
          <cell r="D164">
            <v>1.102472123785452</v>
          </cell>
        </row>
        <row r="170">
          <cell r="D170">
            <v>21.548139947094231</v>
          </cell>
        </row>
        <row r="173">
          <cell r="D173">
            <v>1.9626785508615805</v>
          </cell>
        </row>
        <row r="177">
          <cell r="D177">
            <v>186.91588785046727</v>
          </cell>
        </row>
        <row r="184">
          <cell r="D184">
            <v>0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МКД 33"/>
      <sheetName val="Отчет в МКУ "/>
      <sheetName val="Гр67-1"/>
      <sheetName val="Гр67-2"/>
      <sheetName val="Гр67-3"/>
      <sheetName val="Гр 67-4"/>
      <sheetName val="Гр 67-5"/>
      <sheetName val="Гр 69-7"/>
      <sheetName val="Даг13-1"/>
      <sheetName val="Даг 13-2"/>
      <sheetName val="Даг 15"/>
      <sheetName val="Даг 27"/>
      <sheetName val="Лев 20"/>
      <sheetName val="Лев 36"/>
      <sheetName val="Маг 6"/>
      <sheetName val="Маг.20"/>
      <sheetName val="Маг.20-1"/>
      <sheetName val="Маг.27"/>
      <sheetName val="Мус 9"/>
      <sheetName val="Мус 21-1"/>
      <sheetName val="Мус 23"/>
      <sheetName val="Мус 25"/>
      <sheetName val="М.Дж. 64"/>
      <sheetName val="М.Дж. 68-1"/>
      <sheetName val="Пр 20-3"/>
      <sheetName val="Пр 23"/>
      <sheetName val="Пр 37-1"/>
      <sheetName val="Тал 21б"/>
      <sheetName val="Ухт.10"/>
      <sheetName val="Ухт 11"/>
      <sheetName val="Ухт.16"/>
      <sheetName val="Ухт.24"/>
      <sheetName val="Ухт.26-2"/>
      <sheetName val="Ухт.28"/>
      <sheetName val="Ухт.30"/>
    </sheetNames>
    <sheetDataSet>
      <sheetData sheetId="0">
        <row r="1">
          <cell r="AI1" t="str">
            <v>Адрес</v>
          </cell>
          <cell r="AJ1" t="str">
            <v>Секция</v>
          </cell>
          <cell r="AK1" t="str">
            <v>Общая площадь (с выв в нежил)|560 801,29</v>
          </cell>
          <cell r="AL1" t="str">
            <v>Жилая площадь (с выв в нежил)|355 727,90</v>
          </cell>
          <cell r="AM1" t="str">
            <v>Кол-во подъездов|611</v>
          </cell>
          <cell r="AN1" t="str">
            <v>Число лестниц</v>
          </cell>
          <cell r="AO1" t="str">
            <v>Управляющая компания</v>
          </cell>
          <cell r="AP1" t="str">
            <v>Общая пл.прив.кв._i|538 124,65</v>
          </cell>
          <cell r="AQ1" t="str">
            <v>Общ S мун кв|22 571,94</v>
          </cell>
          <cell r="AR1" t="str">
            <v>Пл-дь лест.клеток и маршей|44 173,00</v>
          </cell>
          <cell r="AS1" t="str">
            <v>Площадь коридоров и МОП|32 198,50</v>
          </cell>
          <cell r="AT1" t="str">
            <v>Количество квартир с выводом и приходом|11698</v>
          </cell>
          <cell r="AU1" t="str">
            <v>Кол-во этажей</v>
          </cell>
          <cell r="AV1" t="str">
            <v>Пользующ. услугами ЖКУ|27943</v>
          </cell>
          <cell r="AW1" t="str">
            <v>Кол-во мусор-в</v>
          </cell>
          <cell r="AX1" t="str">
            <v>Тип мусоропровода|0,00</v>
          </cell>
          <cell r="AY1" t="str">
            <v>S арендат.и собств.|36 951,30</v>
          </cell>
          <cell r="AZ1" t="str">
            <v>Площадь асфальта|242 872,11</v>
          </cell>
          <cell r="BA1" t="str">
            <v>Площадь газона|375 411,56</v>
          </cell>
          <cell r="BB1" t="str">
            <v>Адресная программа|0,00</v>
          </cell>
          <cell r="BC1" t="str">
            <v>Форма управления</v>
          </cell>
          <cell r="BD1" t="str">
            <v>Признак дома</v>
          </cell>
          <cell r="BE1" t="str">
            <v>Процент износа|11 225,71</v>
          </cell>
          <cell r="BF1" t="str">
            <v>Материал ХВС и розлива</v>
          </cell>
          <cell r="BG1" t="str">
            <v>Материал ГВС и розлива</v>
          </cell>
          <cell r="BH1" t="str">
            <v>Тип местного отопл.</v>
          </cell>
          <cell r="BI1" t="str">
            <v>Поставщие отопл-я</v>
          </cell>
          <cell r="BJ1" t="str">
            <v>Тип канализации</v>
          </cell>
          <cell r="BK1" t="str">
            <v>Кол-во лифтов|141</v>
          </cell>
          <cell r="BL1" t="str">
            <v>Материал стен</v>
          </cell>
          <cell r="BM1" t="str">
            <v>Дата постройки</v>
          </cell>
          <cell r="BN1" t="str">
            <v>Кол.кв. с газ.колонкой|4451</v>
          </cell>
          <cell r="BO1" t="str">
            <v>Признак об-ти ванными</v>
          </cell>
          <cell r="BP1" t="str">
            <v>Тип кровли</v>
          </cell>
          <cell r="BQ1" t="str">
            <v>Тип крыши</v>
          </cell>
          <cell r="BR1" t="str">
            <v>Площадь кровли</v>
          </cell>
          <cell r="BS1" t="str">
            <v>Площадь подвала</v>
          </cell>
          <cell r="BT1" t="str">
            <v>S подвала в аренде (собств)</v>
          </cell>
          <cell r="BU1" t="str">
            <v>Освещенная пл. чердака|31 496,20</v>
          </cell>
          <cell r="BV1" t="str">
            <v>Площ.чердака</v>
          </cell>
          <cell r="BW1" t="str">
            <v>Вид собственности</v>
          </cell>
          <cell r="BX1" t="str">
            <v>Кол.кв. с газ.плитами|10113</v>
          </cell>
          <cell r="BY1" t="str">
            <v>Кол.кв. с эл.плитами</v>
          </cell>
          <cell r="BZ1" t="str">
            <v>Группа капитальности</v>
          </cell>
          <cell r="CA1" t="str">
            <v>Кол-во вентканалов</v>
          </cell>
          <cell r="CB1" t="str">
            <v>цена</v>
          </cell>
          <cell r="CC1" t="str">
            <v>Кол-во дымоходов|127,65</v>
          </cell>
          <cell r="CD1" t="str">
            <v>S кв. с ГВС</v>
          </cell>
          <cell r="CE1" t="str">
            <v>S кв. с газ.колонкой</v>
          </cell>
          <cell r="CF1" t="str">
            <v>ЖЭУ</v>
          </cell>
          <cell r="CG1" t="str">
            <v>Кол-во прив кв|11201</v>
          </cell>
          <cell r="CH1" t="str">
            <v>Кол-во мун кв|497</v>
          </cell>
          <cell r="CI1" t="str">
            <v>Тип дома</v>
          </cell>
          <cell r="CJ1" t="str">
            <v>Оборудование дома АППЗ и ДУ</v>
          </cell>
          <cell r="CK1" t="str">
            <v>Узел автоматич. регулирования</v>
          </cell>
          <cell r="CL1" t="str">
            <v>Узел учета тепловой энергии</v>
          </cell>
          <cell r="CM1" t="str">
            <v>Кол-во л. счетов|12210</v>
          </cell>
          <cell r="CN1" t="str">
            <v>площадь общ. имущества дома для ХВС|76 348,70</v>
          </cell>
          <cell r="CO1" t="str">
            <v>площадь общ. имущества дома для ГВС|53 849,10</v>
          </cell>
          <cell r="CP1" t="str">
            <v>площадь общ. имущества дома для эл. энергии|214 268,00</v>
          </cell>
          <cell r="CQ1" t="str">
            <v>Кол-во печей|0</v>
          </cell>
          <cell r="CR1" t="str">
            <v>Кол-во приборов учета газа</v>
          </cell>
          <cell r="CS1" t="str">
            <v>Количество общедомовых электросчетчиков</v>
          </cell>
          <cell r="CT1" t="str">
            <v>Кол. кв. с скрытой эл. проводк|11697</v>
          </cell>
          <cell r="CU1" t="str">
            <v>Кол.кв. с открытой эл.проводко|4</v>
          </cell>
          <cell r="CV1" t="str">
            <v>Инд ПУ ХВС|8421</v>
          </cell>
          <cell r="CW1" t="str">
            <v>Инд ПУ ГВС|5497</v>
          </cell>
          <cell r="CX1" t="str">
            <v>Кол-во ВРУ</v>
          </cell>
          <cell r="CY1" t="str">
            <v>Площадь тех.этажа|145,20</v>
          </cell>
          <cell r="CZ1" t="str">
            <v>Объем|2 614 628,50</v>
          </cell>
          <cell r="DA1" t="str">
            <v>Район</v>
          </cell>
          <cell r="DB1" t="str">
            <v>Материал перекрытий</v>
          </cell>
          <cell r="DC1" t="str">
            <v>Техническая документация</v>
          </cell>
          <cell r="DD1" t="str">
            <v>Кол-во ИТП|12</v>
          </cell>
          <cell r="DE1" t="str">
            <v>Тип нагрузки ИТП</v>
          </cell>
          <cell r="DF1" t="str">
            <v>Тип ИТП</v>
          </cell>
          <cell r="DG1" t="str">
            <v>Назначение ИТП</v>
          </cell>
          <cell r="DH1" t="str">
            <v>Подрядчик ИТП</v>
          </cell>
          <cell r="DI1" t="str">
            <v>ИТП в собственности МКД</v>
          </cell>
          <cell r="DJ1" t="str">
            <v>Подрядчик обсл.лифты</v>
          </cell>
          <cell r="DK1" t="str">
            <v>Кол-во приборов учета ГВС</v>
          </cell>
          <cell r="DL1" t="str">
            <v>Кол-во приборов учета ХВС</v>
          </cell>
          <cell r="DM1" t="str">
            <v>Первоначальная стоимость|1 165 534 045,00</v>
          </cell>
          <cell r="DN1" t="str">
            <v>Кол-во ЗПУ|346</v>
          </cell>
          <cell r="DO1" t="str">
            <v>Тип полотенцесушителя|Наименование</v>
          </cell>
          <cell r="DP1" t="str">
            <v>Нахождение техпаспорта|0,00</v>
          </cell>
          <cell r="DQ1" t="str">
            <v>Дата изг.тех.паспорта</v>
          </cell>
          <cell r="DR1" t="str">
            <v>Ванны 1200</v>
          </cell>
          <cell r="DS1" t="str">
            <v>Ванны 1500</v>
          </cell>
          <cell r="DT1" t="str">
            <v>Ванны 1650</v>
          </cell>
          <cell r="DU1" t="str">
            <v>Без душа|0</v>
          </cell>
          <cell r="DV1" t="str">
            <v>Площадь душ.</v>
          </cell>
          <cell r="DW1" t="str">
            <v>Площадь кухни</v>
          </cell>
          <cell r="DX1" t="str">
            <v>Площадь туалета</v>
          </cell>
          <cell r="DY1" t="str">
            <v>Площадь умыв.</v>
          </cell>
          <cell r="DZ1" t="str">
            <v>Площадь коридора</v>
          </cell>
          <cell r="EA1" t="str">
            <v>Кол-во выгребных ям</v>
          </cell>
          <cell r="EB1" t="str">
            <v>Кол-во двор. туалетов</v>
          </cell>
          <cell r="EC1" t="str">
            <v>Бункер ТБО</v>
          </cell>
          <cell r="ED1" t="str">
            <v>Тип ЦО</v>
          </cell>
          <cell r="EE1" t="str">
            <v>Тип розлива</v>
          </cell>
          <cell r="EF1" t="str">
            <v>Наличие насосной станции</v>
          </cell>
          <cell r="EG1" t="str">
            <v>Площадь застройки</v>
          </cell>
          <cell r="EH1" t="str">
            <v>Площаль озеленения</v>
          </cell>
          <cell r="EI1" t="str">
            <v>Площадь газонов</v>
          </cell>
          <cell r="EJ1" t="str">
            <v>Площадь тротуаров</v>
          </cell>
          <cell r="EK1" t="str">
            <v>Пл. внутрикварт. дорожн.сети</v>
          </cell>
          <cell r="EL1" t="str">
            <v>Пл. внутриквартал-х въездов</v>
          </cell>
          <cell r="EM1" t="str">
            <v>Пл. подходов к подъездам и отмосткам</v>
          </cell>
          <cell r="EN1" t="str">
            <v>Кол-во контейнеров</v>
          </cell>
          <cell r="EO1" t="str">
            <v>Объекты придомовой территории|Пл. асф-х спорт.пл-к</v>
          </cell>
          <cell r="EP1" t="str">
            <v>Объекты придомовой территории|Кол. асф-х спорт.пл-к</v>
          </cell>
          <cell r="EQ1" t="str">
            <v>Объекты придомовой территории|Пл. спорт.пл-к с грунт. покр.</v>
          </cell>
          <cell r="ER1" t="str">
            <v>Объекты придомовой территории|Кол. спорт.пл-к с грунт. покр.</v>
          </cell>
          <cell r="ES1" t="str">
            <v>Объекты придомовой территории|Пл. асф-х детск.пл-к</v>
          </cell>
          <cell r="ET1" t="str">
            <v>Объекты придомовой территории|Кол. асф-х детск.пл-к</v>
          </cell>
          <cell r="EU1" t="str">
            <v>Объекты придомовой территории|Пл. детск. пл-к с грунт. покр.</v>
          </cell>
          <cell r="EV1" t="str">
            <v>Объекты придомовой территории|Кол. детск. пл-к с грунт. покр.</v>
          </cell>
          <cell r="EW1" t="str">
            <v>Объекты придомовой территории|Пл. асфальт. конт. пл-к</v>
          </cell>
          <cell r="EX1" t="str">
            <v>Объекты придомовой территории|Кол. асф-х  конт. пл-к</v>
          </cell>
          <cell r="EY1" t="str">
            <v>Объекты придомовой территории|Пл. конт. пл-к  с грунт. покр.</v>
          </cell>
          <cell r="EZ1" t="str">
            <v>Объекты придомовой территории|Кол.  конт. пл-к  с грунт. покр.</v>
          </cell>
          <cell r="FA1" t="str">
            <v>Объекты придомовой территории|Пл. асф-х бельевых пл-к</v>
          </cell>
          <cell r="FB1" t="str">
            <v>Объекты придомовой территории|Кол. асф-х бельевых пл-к</v>
          </cell>
          <cell r="FC1" t="str">
            <v>Объекты придомовой территории|Пл. бельевых пл-к  с грунт. покр.</v>
          </cell>
          <cell r="FD1" t="str">
            <v>Объекты придомовой территории|Кол. бельевых пл-к  с грунт. покр.</v>
          </cell>
          <cell r="FE1" t="str">
            <v>Квартиры (тарифы)</v>
          </cell>
          <cell r="FF1" t="str">
            <v>Размер платы за ЖКУ</v>
          </cell>
          <cell r="FG1" t="str">
            <v>тариф  клининг</v>
          </cell>
          <cell r="FH1" t="str">
            <v>Примечание к тарифу</v>
          </cell>
          <cell r="FI1" t="str">
            <v>Дата ввода тарифа</v>
          </cell>
          <cell r="FJ1" t="str">
            <v>Поставщик отопл-я</v>
          </cell>
          <cell r="FK1" t="str">
            <v>Признак ветхости|133302</v>
          </cell>
          <cell r="FL1" t="str">
            <v>Общ S здан|789 085,49</v>
          </cell>
          <cell r="FM1" t="str">
            <v>цена</v>
          </cell>
          <cell r="FN1">
            <v>0</v>
          </cell>
          <cell r="FO1">
            <v>0</v>
          </cell>
        </row>
        <row r="2">
          <cell r="AI2" t="str">
            <v>Новый документ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 t="str">
            <v>Новый документ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27.01</v>
          </cell>
          <cell r="CC2">
            <v>27.009994506835938</v>
          </cell>
          <cell r="CD2">
            <v>27.009994506835938</v>
          </cell>
          <cell r="CE2">
            <v>27.009994506835938</v>
          </cell>
          <cell r="CF2" t="str">
            <v>Новый документ</v>
          </cell>
          <cell r="CG2">
            <v>27.009994506835938</v>
          </cell>
          <cell r="CH2">
            <v>27.009994506835938</v>
          </cell>
          <cell r="CI2">
            <v>27.009994506835938</v>
          </cell>
          <cell r="CJ2">
            <v>27.009994506835938</v>
          </cell>
          <cell r="CK2">
            <v>27.009994506835938</v>
          </cell>
          <cell r="CL2">
            <v>27.009994506835938</v>
          </cell>
          <cell r="CM2">
            <v>27.009994506835938</v>
          </cell>
          <cell r="CN2">
            <v>27.009994506835938</v>
          </cell>
          <cell r="CO2">
            <v>27.009994506835938</v>
          </cell>
          <cell r="CP2">
            <v>27.009994506835938</v>
          </cell>
          <cell r="CQ2">
            <v>27.009994506835938</v>
          </cell>
          <cell r="CR2">
            <v>27.009994506835938</v>
          </cell>
          <cell r="CS2">
            <v>27.009994506835938</v>
          </cell>
          <cell r="CT2">
            <v>27.009994506835938</v>
          </cell>
          <cell r="CU2">
            <v>27.009994506835938</v>
          </cell>
          <cell r="CV2">
            <v>27.009994506835938</v>
          </cell>
          <cell r="CW2">
            <v>27.009994506835938</v>
          </cell>
          <cell r="CX2">
            <v>27.009994506835938</v>
          </cell>
          <cell r="CY2">
            <v>27.009994506835938</v>
          </cell>
          <cell r="CZ2">
            <v>27.009994506835938</v>
          </cell>
          <cell r="DA2" t="str">
            <v>Новый документ</v>
          </cell>
          <cell r="DB2">
            <v>27.009994506835938</v>
          </cell>
          <cell r="DC2">
            <v>27.009994506835938</v>
          </cell>
          <cell r="DD2">
            <v>27.009994506835938</v>
          </cell>
          <cell r="DE2">
            <v>27.009994506835938</v>
          </cell>
          <cell r="DF2">
            <v>27.009994506835938</v>
          </cell>
          <cell r="DG2">
            <v>27.009994506835938</v>
          </cell>
          <cell r="DH2">
            <v>27.009994506835938</v>
          </cell>
          <cell r="DI2">
            <v>27.009994506835938</v>
          </cell>
          <cell r="DJ2">
            <v>27.009994506835938</v>
          </cell>
          <cell r="DK2">
            <v>27.009994506835938</v>
          </cell>
          <cell r="DL2">
            <v>27.009994506835938</v>
          </cell>
          <cell r="DM2">
            <v>27.009994506835938</v>
          </cell>
          <cell r="DN2">
            <v>27.009994506835938</v>
          </cell>
          <cell r="DO2">
            <v>27.009994506835938</v>
          </cell>
          <cell r="DP2">
            <v>27.009994506835938</v>
          </cell>
          <cell r="DQ2">
            <v>27.009994506835938</v>
          </cell>
          <cell r="DR2">
            <v>27.009994506835938</v>
          </cell>
          <cell r="DS2">
            <v>27.009994506835938</v>
          </cell>
          <cell r="DT2">
            <v>27.009994506835938</v>
          </cell>
          <cell r="DU2">
            <v>27.009994506835938</v>
          </cell>
          <cell r="DV2">
            <v>27.009994506835938</v>
          </cell>
          <cell r="DW2">
            <v>27.009994506835938</v>
          </cell>
          <cell r="DX2">
            <v>27.009994506835938</v>
          </cell>
          <cell r="DY2">
            <v>27.009994506835938</v>
          </cell>
          <cell r="DZ2">
            <v>27.009994506835938</v>
          </cell>
          <cell r="EA2">
            <v>27.009994506835938</v>
          </cell>
          <cell r="EB2">
            <v>27.009994506835938</v>
          </cell>
          <cell r="EC2">
            <v>27.009994506835938</v>
          </cell>
          <cell r="ED2">
            <v>27.009994506835938</v>
          </cell>
          <cell r="EE2">
            <v>27.009994506835938</v>
          </cell>
          <cell r="EF2">
            <v>27.009994506835938</v>
          </cell>
          <cell r="EG2">
            <v>27.009994506835938</v>
          </cell>
          <cell r="EH2">
            <v>27.009994506835938</v>
          </cell>
          <cell r="EI2">
            <v>27.009994506835938</v>
          </cell>
          <cell r="EJ2">
            <v>27.009994506835938</v>
          </cell>
          <cell r="EK2">
            <v>27.009994506835938</v>
          </cell>
          <cell r="EL2">
            <v>27.009994506835938</v>
          </cell>
          <cell r="EM2">
            <v>27.009994506835938</v>
          </cell>
          <cell r="EN2">
            <v>27.009994506835938</v>
          </cell>
          <cell r="EO2">
            <v>27.009994506835938</v>
          </cell>
          <cell r="EP2">
            <v>27.009994506835938</v>
          </cell>
          <cell r="EQ2">
            <v>27.009994506835938</v>
          </cell>
          <cell r="ER2">
            <v>27.009994506835938</v>
          </cell>
          <cell r="ES2">
            <v>27.009994506835938</v>
          </cell>
          <cell r="ET2">
            <v>27.009994506835938</v>
          </cell>
          <cell r="EU2">
            <v>27.009994506835938</v>
          </cell>
          <cell r="EV2">
            <v>27.009994506835938</v>
          </cell>
          <cell r="EW2">
            <v>27.009994506835938</v>
          </cell>
          <cell r="EX2">
            <v>27.009994506835938</v>
          </cell>
          <cell r="EY2">
            <v>27.009994506835938</v>
          </cell>
          <cell r="EZ2">
            <v>27.009994506835938</v>
          </cell>
          <cell r="FA2">
            <v>27.009994506835938</v>
          </cell>
          <cell r="FB2">
            <v>27.009994506835938</v>
          </cell>
          <cell r="FC2">
            <v>27.009994506835938</v>
          </cell>
          <cell r="FD2">
            <v>27.009994506835938</v>
          </cell>
          <cell r="FE2">
            <v>27.009994506835938</v>
          </cell>
          <cell r="FF2">
            <v>27.009994506835938</v>
          </cell>
          <cell r="FG2">
            <v>27.009994506835938</v>
          </cell>
          <cell r="FH2">
            <v>27.009994506835938</v>
          </cell>
          <cell r="FI2">
            <v>27.009994506835938</v>
          </cell>
          <cell r="FJ2">
            <v>27.009994506835938</v>
          </cell>
          <cell r="FK2">
            <v>27.009994506835938</v>
          </cell>
          <cell r="FL2">
            <v>27.009994506835938</v>
          </cell>
          <cell r="FM2">
            <v>78.92</v>
          </cell>
          <cell r="FN2">
            <v>0</v>
          </cell>
          <cell r="FO2">
            <v>0</v>
          </cell>
        </row>
        <row r="3">
          <cell r="AI3" t="str">
            <v>Ул. Локомотивная дом 6</v>
          </cell>
          <cell r="AJ3">
            <v>0</v>
          </cell>
          <cell r="AK3">
            <v>189.6</v>
          </cell>
          <cell r="AL3">
            <v>165.6</v>
          </cell>
          <cell r="AM3">
            <v>0</v>
          </cell>
          <cell r="AN3">
            <v>0</v>
          </cell>
          <cell r="AO3" t="str">
            <v>АО УЖХ Демского района</v>
          </cell>
          <cell r="AP3">
            <v>128.6</v>
          </cell>
          <cell r="AQ3">
            <v>60.3</v>
          </cell>
          <cell r="AR3">
            <v>0</v>
          </cell>
          <cell r="AS3">
            <v>0</v>
          </cell>
          <cell r="AT3">
            <v>6</v>
          </cell>
          <cell r="AU3">
            <v>1</v>
          </cell>
          <cell r="AV3">
            <v>18</v>
          </cell>
          <cell r="AW3">
            <v>0</v>
          </cell>
          <cell r="AX3">
            <v>0</v>
          </cell>
          <cell r="AY3">
            <v>0</v>
          </cell>
          <cell r="AZ3">
            <v>131.88</v>
          </cell>
          <cell r="BA3">
            <v>83.33</v>
          </cell>
          <cell r="BB3">
            <v>83.3299560546875</v>
          </cell>
          <cell r="BC3" t="str">
            <v>Непосредственное</v>
          </cell>
          <cell r="BD3" t="str">
            <v>1. Жилой дом</v>
          </cell>
          <cell r="BE3">
            <v>100</v>
          </cell>
          <cell r="BF3" t="str">
            <v>4.Колонка уличная</v>
          </cell>
          <cell r="BG3">
            <v>100</v>
          </cell>
          <cell r="BH3" t="str">
            <v>3.Водяной</v>
          </cell>
          <cell r="BI3" t="str">
            <v>МУП УИС</v>
          </cell>
          <cell r="BJ3">
            <v>100</v>
          </cell>
          <cell r="BK3">
            <v>100</v>
          </cell>
          <cell r="BL3" t="str">
            <v>7.Бревенчатый</v>
          </cell>
          <cell r="BM3">
            <v>3654</v>
          </cell>
          <cell r="BN3">
            <v>3654</v>
          </cell>
          <cell r="BO3" t="str">
            <v>Не оборудован</v>
          </cell>
          <cell r="BP3" t="str">
            <v>1.Абсоцемент(шифер)</v>
          </cell>
          <cell r="BQ3" t="str">
            <v>1.Скатная</v>
          </cell>
          <cell r="BR3">
            <v>310.60000000000002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 t="str">
            <v>3.Частный жилищный фонд</v>
          </cell>
          <cell r="BX3">
            <v>6</v>
          </cell>
          <cell r="BY3">
            <v>0</v>
          </cell>
          <cell r="BZ3" t="str">
            <v>4-я</v>
          </cell>
          <cell r="CA3">
            <v>1</v>
          </cell>
          <cell r="CB3">
            <v>27.01</v>
          </cell>
          <cell r="CC3">
            <v>27.009994506835938</v>
          </cell>
          <cell r="CD3">
            <v>27.009994506835938</v>
          </cell>
          <cell r="CE3">
            <v>27.009994506835938</v>
          </cell>
          <cell r="CF3" t="str">
            <v>ООО "Гранд"</v>
          </cell>
          <cell r="CG3">
            <v>3</v>
          </cell>
          <cell r="CH3">
            <v>3</v>
          </cell>
          <cell r="CI3" t="str">
            <v>Дом блокированной застройки</v>
          </cell>
          <cell r="CJ3">
            <v>3</v>
          </cell>
          <cell r="CK3">
            <v>0</v>
          </cell>
          <cell r="CL3">
            <v>0</v>
          </cell>
          <cell r="CM3">
            <v>6</v>
          </cell>
          <cell r="CN3">
            <v>6</v>
          </cell>
          <cell r="CO3">
            <v>6</v>
          </cell>
          <cell r="CP3">
            <v>6</v>
          </cell>
          <cell r="CQ3">
            <v>6</v>
          </cell>
          <cell r="CR3">
            <v>6</v>
          </cell>
          <cell r="CS3">
            <v>0</v>
          </cell>
          <cell r="CT3">
            <v>6</v>
          </cell>
          <cell r="CU3">
            <v>0</v>
          </cell>
          <cell r="CV3">
            <v>0</v>
          </cell>
          <cell r="CW3">
            <v>0</v>
          </cell>
          <cell r="CX3">
            <v>1</v>
          </cell>
          <cell r="CY3">
            <v>1</v>
          </cell>
          <cell r="CZ3">
            <v>744</v>
          </cell>
          <cell r="DA3" t="str">
            <v>Демский</v>
          </cell>
          <cell r="DB3" t="str">
            <v>2.Деревянные</v>
          </cell>
          <cell r="DC3">
            <v>744</v>
          </cell>
          <cell r="DD3">
            <v>744</v>
          </cell>
          <cell r="DE3">
            <v>744</v>
          </cell>
          <cell r="DF3">
            <v>744</v>
          </cell>
          <cell r="DG3">
            <v>744</v>
          </cell>
          <cell r="DH3">
            <v>744</v>
          </cell>
          <cell r="DI3">
            <v>744</v>
          </cell>
          <cell r="DJ3">
            <v>744</v>
          </cell>
          <cell r="DK3">
            <v>0</v>
          </cell>
          <cell r="DL3">
            <v>0</v>
          </cell>
          <cell r="DM3">
            <v>176728</v>
          </cell>
          <cell r="DN3">
            <v>0</v>
          </cell>
          <cell r="DO3" t="str">
            <v>Отсутствует</v>
          </cell>
          <cell r="DP3" t="str">
            <v>УЖХ</v>
          </cell>
          <cell r="DQ3">
            <v>36588</v>
          </cell>
          <cell r="DR3">
            <v>0</v>
          </cell>
          <cell r="DS3">
            <v>0</v>
          </cell>
          <cell r="DT3">
            <v>0</v>
          </cell>
          <cell r="DU3">
            <v>0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1</v>
          </cell>
          <cell r="EC3">
            <v>0</v>
          </cell>
          <cell r="ED3" t="str">
            <v>3.Зависимая схема</v>
          </cell>
          <cell r="EE3" t="str">
            <v>Верхний</v>
          </cell>
          <cell r="EF3">
            <v>0</v>
          </cell>
          <cell r="EG3">
            <v>0</v>
          </cell>
          <cell r="EH3">
            <v>0</v>
          </cell>
          <cell r="EI3">
            <v>83.33</v>
          </cell>
          <cell r="EJ3">
            <v>83.3299560546875</v>
          </cell>
          <cell r="EK3">
            <v>131.88</v>
          </cell>
          <cell r="EL3">
            <v>131.8798828125</v>
          </cell>
          <cell r="EM3">
            <v>131.8798828125</v>
          </cell>
          <cell r="EN3">
            <v>0</v>
          </cell>
          <cell r="EO3">
            <v>0</v>
          </cell>
          <cell r="EP3">
            <v>0</v>
          </cell>
          <cell r="EQ3">
            <v>0</v>
          </cell>
          <cell r="ER3">
            <v>0</v>
          </cell>
          <cell r="ES3">
            <v>0</v>
          </cell>
          <cell r="ET3">
            <v>0</v>
          </cell>
          <cell r="EU3">
            <v>0</v>
          </cell>
          <cell r="EV3">
            <v>0</v>
          </cell>
          <cell r="EW3">
            <v>0</v>
          </cell>
          <cell r="EX3">
            <v>0</v>
          </cell>
          <cell r="EY3">
            <v>0</v>
          </cell>
          <cell r="EZ3">
            <v>0</v>
          </cell>
          <cell r="FA3">
            <v>0</v>
          </cell>
          <cell r="FB3">
            <v>0</v>
          </cell>
          <cell r="FC3">
            <v>0</v>
          </cell>
          <cell r="FD3">
            <v>0</v>
          </cell>
          <cell r="FE3">
            <v>0</v>
          </cell>
          <cell r="FF3">
            <v>17.829999999999998</v>
          </cell>
          <cell r="FG3">
            <v>17.829986572265625</v>
          </cell>
          <cell r="FH3" t="str">
            <v>С УЛК (ЖЭУ)</v>
          </cell>
          <cell r="FI3">
            <v>44378</v>
          </cell>
          <cell r="FJ3">
            <v>15477</v>
          </cell>
          <cell r="FK3">
            <v>11108</v>
          </cell>
          <cell r="FL3">
            <v>189.6</v>
          </cell>
          <cell r="FM3">
            <v>78.92</v>
          </cell>
          <cell r="FN3">
            <v>162.06</v>
          </cell>
          <cell r="FO3">
            <v>486.18</v>
          </cell>
        </row>
        <row r="4">
          <cell r="AI4" t="str">
            <v>Ул. Локомотивная дом 2</v>
          </cell>
          <cell r="AJ4">
            <v>486.179931640625</v>
          </cell>
          <cell r="AK4">
            <v>100.8</v>
          </cell>
          <cell r="AL4">
            <v>66.8</v>
          </cell>
          <cell r="AM4">
            <v>0</v>
          </cell>
          <cell r="AN4">
            <v>0</v>
          </cell>
          <cell r="AO4" t="str">
            <v>АО УЖХ Демского района</v>
          </cell>
          <cell r="AP4">
            <v>101.9</v>
          </cell>
          <cell r="AQ4">
            <v>0</v>
          </cell>
          <cell r="AR4">
            <v>0</v>
          </cell>
          <cell r="AS4">
            <v>0</v>
          </cell>
          <cell r="AT4">
            <v>2</v>
          </cell>
          <cell r="AU4">
            <v>1</v>
          </cell>
          <cell r="AV4">
            <v>3</v>
          </cell>
          <cell r="AW4">
            <v>0</v>
          </cell>
          <cell r="AX4">
            <v>0</v>
          </cell>
          <cell r="AY4">
            <v>0</v>
          </cell>
          <cell r="AZ4">
            <v>131.88</v>
          </cell>
          <cell r="BA4">
            <v>83.34</v>
          </cell>
          <cell r="BB4">
            <v>83.3399658203125</v>
          </cell>
          <cell r="BC4" t="str">
            <v>Непосредственное</v>
          </cell>
          <cell r="BD4" t="str">
            <v>1. Жилой дом</v>
          </cell>
          <cell r="BE4">
            <v>100</v>
          </cell>
          <cell r="BF4" t="str">
            <v>4.Колонка уличная</v>
          </cell>
          <cell r="BG4">
            <v>100</v>
          </cell>
          <cell r="BH4" t="str">
            <v>3.Водяной</v>
          </cell>
          <cell r="BI4" t="str">
            <v>МУП УИС</v>
          </cell>
          <cell r="BJ4">
            <v>100</v>
          </cell>
          <cell r="BK4">
            <v>100</v>
          </cell>
          <cell r="BL4" t="str">
            <v>7.Бревенчатый</v>
          </cell>
          <cell r="BM4" t="str">
            <v>01.01.1899 0:00</v>
          </cell>
          <cell r="BN4">
            <v>100</v>
          </cell>
          <cell r="BO4" t="str">
            <v>Не оборудован</v>
          </cell>
          <cell r="BP4" t="str">
            <v>1.Абсоцемент(шифер)</v>
          </cell>
          <cell r="BQ4" t="str">
            <v>1.Скатная</v>
          </cell>
          <cell r="BR4">
            <v>157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 t="str">
            <v>3.Частный жилищный фонд</v>
          </cell>
          <cell r="BX4">
            <v>2</v>
          </cell>
          <cell r="BY4">
            <v>0</v>
          </cell>
          <cell r="BZ4" t="str">
            <v>4-я</v>
          </cell>
          <cell r="CA4">
            <v>1</v>
          </cell>
          <cell r="CB4">
            <v>27.01</v>
          </cell>
          <cell r="CC4">
            <v>27.009994506835938</v>
          </cell>
          <cell r="CD4">
            <v>27.009994506835938</v>
          </cell>
          <cell r="CE4">
            <v>27.009994506835938</v>
          </cell>
          <cell r="CF4" t="str">
            <v>ООО "Гранд"</v>
          </cell>
          <cell r="CG4">
            <v>2</v>
          </cell>
          <cell r="CH4">
            <v>0</v>
          </cell>
          <cell r="CI4" t="str">
            <v>Дом блокированной застройки</v>
          </cell>
          <cell r="CJ4">
            <v>0</v>
          </cell>
          <cell r="CK4">
            <v>0</v>
          </cell>
          <cell r="CL4">
            <v>0</v>
          </cell>
          <cell r="CM4">
            <v>2</v>
          </cell>
          <cell r="CN4">
            <v>2</v>
          </cell>
          <cell r="CO4">
            <v>2</v>
          </cell>
          <cell r="CP4">
            <v>2</v>
          </cell>
          <cell r="CQ4">
            <v>2</v>
          </cell>
          <cell r="CR4">
            <v>2</v>
          </cell>
          <cell r="CS4">
            <v>0</v>
          </cell>
          <cell r="CT4">
            <v>2</v>
          </cell>
          <cell r="CU4">
            <v>0</v>
          </cell>
          <cell r="CV4">
            <v>0</v>
          </cell>
          <cell r="CW4">
            <v>0</v>
          </cell>
          <cell r="CX4">
            <v>1</v>
          </cell>
          <cell r="CY4">
            <v>1</v>
          </cell>
          <cell r="CZ4">
            <v>355</v>
          </cell>
          <cell r="DA4" t="str">
            <v>Демский</v>
          </cell>
          <cell r="DB4" t="str">
            <v>2.Деревянные</v>
          </cell>
          <cell r="DC4">
            <v>355</v>
          </cell>
          <cell r="DD4">
            <v>355</v>
          </cell>
          <cell r="DE4">
            <v>355</v>
          </cell>
          <cell r="DF4">
            <v>355</v>
          </cell>
          <cell r="DG4">
            <v>355</v>
          </cell>
          <cell r="DH4">
            <v>355</v>
          </cell>
          <cell r="DI4">
            <v>355</v>
          </cell>
          <cell r="DJ4">
            <v>355</v>
          </cell>
          <cell r="DK4">
            <v>0</v>
          </cell>
          <cell r="DL4">
            <v>0</v>
          </cell>
          <cell r="DM4">
            <v>77978</v>
          </cell>
          <cell r="DN4">
            <v>0</v>
          </cell>
          <cell r="DO4" t="str">
            <v>Отсутствует</v>
          </cell>
          <cell r="DP4" t="str">
            <v>УЖХ</v>
          </cell>
          <cell r="DQ4">
            <v>36506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1</v>
          </cell>
          <cell r="EC4">
            <v>0</v>
          </cell>
          <cell r="ED4" t="str">
            <v>3.Зависимая схема</v>
          </cell>
          <cell r="EE4" t="str">
            <v>Верхний</v>
          </cell>
          <cell r="EF4">
            <v>0</v>
          </cell>
          <cell r="EG4">
            <v>0</v>
          </cell>
          <cell r="EH4">
            <v>0</v>
          </cell>
          <cell r="EI4">
            <v>83.34</v>
          </cell>
          <cell r="EJ4">
            <v>83.3399658203125</v>
          </cell>
          <cell r="EK4">
            <v>131.88</v>
          </cell>
          <cell r="EL4">
            <v>131.8798828125</v>
          </cell>
          <cell r="EM4">
            <v>131.8798828125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0</v>
          </cell>
          <cell r="EU4">
            <v>0</v>
          </cell>
          <cell r="EV4">
            <v>0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16.510000000000002</v>
          </cell>
          <cell r="FG4">
            <v>16.509994506835938</v>
          </cell>
          <cell r="FH4" t="str">
            <v>С УЛК (ЖЭУ)</v>
          </cell>
          <cell r="FI4">
            <v>44378</v>
          </cell>
          <cell r="FJ4">
            <v>15477</v>
          </cell>
          <cell r="FK4">
            <v>11108</v>
          </cell>
          <cell r="FL4">
            <v>100.8</v>
          </cell>
          <cell r="FM4">
            <v>78.92</v>
          </cell>
          <cell r="FN4">
            <v>54.02</v>
          </cell>
          <cell r="FO4">
            <v>162.06</v>
          </cell>
        </row>
        <row r="5">
          <cell r="AI5" t="str">
            <v>Ул. Локомотивная дом 4</v>
          </cell>
          <cell r="AJ5">
            <v>162.0599365234375</v>
          </cell>
          <cell r="AK5">
            <v>95.2</v>
          </cell>
          <cell r="AL5">
            <v>65.599999999999994</v>
          </cell>
          <cell r="AM5">
            <v>0</v>
          </cell>
          <cell r="AN5">
            <v>0</v>
          </cell>
          <cell r="AO5" t="str">
            <v>АО УЖХ Демского района</v>
          </cell>
          <cell r="AP5">
            <v>32.9</v>
          </cell>
          <cell r="AQ5">
            <v>62.3</v>
          </cell>
          <cell r="AR5">
            <v>0</v>
          </cell>
          <cell r="AS5">
            <v>0</v>
          </cell>
          <cell r="AT5">
            <v>3</v>
          </cell>
          <cell r="AU5">
            <v>1</v>
          </cell>
          <cell r="AV5">
            <v>4</v>
          </cell>
          <cell r="AW5">
            <v>0</v>
          </cell>
          <cell r="AX5">
            <v>0</v>
          </cell>
          <cell r="AY5">
            <v>0</v>
          </cell>
          <cell r="AZ5">
            <v>131.88</v>
          </cell>
          <cell r="BA5">
            <v>83.34</v>
          </cell>
          <cell r="BB5">
            <v>83.3399658203125</v>
          </cell>
          <cell r="BC5" t="str">
            <v>Непосредственное</v>
          </cell>
          <cell r="BD5" t="str">
            <v>1. Жилой дом</v>
          </cell>
          <cell r="BE5">
            <v>100</v>
          </cell>
          <cell r="BF5" t="str">
            <v>4.Колонка уличная</v>
          </cell>
          <cell r="BG5">
            <v>100</v>
          </cell>
          <cell r="BH5" t="str">
            <v>3.Водяной</v>
          </cell>
          <cell r="BI5" t="str">
            <v>МУП УИС</v>
          </cell>
          <cell r="BJ5">
            <v>100</v>
          </cell>
          <cell r="BK5">
            <v>100</v>
          </cell>
          <cell r="BL5" t="str">
            <v>7.Бревенчатый</v>
          </cell>
          <cell r="BM5">
            <v>3654</v>
          </cell>
          <cell r="BN5">
            <v>3654</v>
          </cell>
          <cell r="BO5" t="str">
            <v>Не оборудован</v>
          </cell>
          <cell r="BP5" t="str">
            <v>1.Абсоцемент(шифер)</v>
          </cell>
          <cell r="BQ5" t="str">
            <v>1.Скатная</v>
          </cell>
          <cell r="BR5">
            <v>222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 t="str">
            <v>3.Частный жилищный фонд</v>
          </cell>
          <cell r="BX5">
            <v>3</v>
          </cell>
          <cell r="BY5">
            <v>0</v>
          </cell>
          <cell r="BZ5" t="str">
            <v>4-я</v>
          </cell>
          <cell r="CA5">
            <v>1</v>
          </cell>
          <cell r="CB5">
            <v>27.01</v>
          </cell>
          <cell r="CC5">
            <v>27.009994506835938</v>
          </cell>
          <cell r="CD5">
            <v>27.009994506835938</v>
          </cell>
          <cell r="CE5">
            <v>27.009994506835938</v>
          </cell>
          <cell r="CF5" t="str">
            <v>ООО "Гранд"</v>
          </cell>
          <cell r="CG5">
            <v>1</v>
          </cell>
          <cell r="CH5">
            <v>2</v>
          </cell>
          <cell r="CI5" t="str">
            <v>Дом блокированной застройки</v>
          </cell>
          <cell r="CJ5">
            <v>2</v>
          </cell>
          <cell r="CK5">
            <v>0</v>
          </cell>
          <cell r="CL5">
            <v>0</v>
          </cell>
          <cell r="CM5">
            <v>3</v>
          </cell>
          <cell r="CN5">
            <v>3</v>
          </cell>
          <cell r="CO5">
            <v>3</v>
          </cell>
          <cell r="CP5">
            <v>3</v>
          </cell>
          <cell r="CQ5">
            <v>3</v>
          </cell>
          <cell r="CR5">
            <v>3</v>
          </cell>
          <cell r="CS5">
            <v>0</v>
          </cell>
          <cell r="CT5">
            <v>3</v>
          </cell>
          <cell r="CU5">
            <v>0</v>
          </cell>
          <cell r="CV5">
            <v>0</v>
          </cell>
          <cell r="CW5">
            <v>0</v>
          </cell>
          <cell r="CX5">
            <v>1</v>
          </cell>
          <cell r="CY5">
            <v>1</v>
          </cell>
          <cell r="CZ5">
            <v>363</v>
          </cell>
          <cell r="DA5" t="str">
            <v>Демский</v>
          </cell>
          <cell r="DB5" t="str">
            <v>2.Деревянные</v>
          </cell>
          <cell r="DC5">
            <v>363</v>
          </cell>
          <cell r="DD5">
            <v>363</v>
          </cell>
          <cell r="DE5">
            <v>363</v>
          </cell>
          <cell r="DF5">
            <v>363</v>
          </cell>
          <cell r="DG5">
            <v>363</v>
          </cell>
          <cell r="DH5">
            <v>363</v>
          </cell>
          <cell r="DI5">
            <v>363</v>
          </cell>
          <cell r="DJ5">
            <v>363</v>
          </cell>
          <cell r="DK5">
            <v>0</v>
          </cell>
          <cell r="DL5">
            <v>0</v>
          </cell>
          <cell r="DM5">
            <v>73021</v>
          </cell>
          <cell r="DN5">
            <v>0</v>
          </cell>
          <cell r="DO5" t="str">
            <v>Отсутствует</v>
          </cell>
          <cell r="DP5" t="str">
            <v>УЖХ</v>
          </cell>
          <cell r="DQ5">
            <v>36506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1</v>
          </cell>
          <cell r="EC5">
            <v>0</v>
          </cell>
          <cell r="ED5" t="str">
            <v>3.Зависимая схема</v>
          </cell>
          <cell r="EE5" t="str">
            <v>Верхний</v>
          </cell>
          <cell r="EF5">
            <v>0</v>
          </cell>
          <cell r="EG5">
            <v>0</v>
          </cell>
          <cell r="EH5">
            <v>0</v>
          </cell>
          <cell r="EI5">
            <v>83.34</v>
          </cell>
          <cell r="EJ5">
            <v>83.3399658203125</v>
          </cell>
          <cell r="EK5">
            <v>111.88</v>
          </cell>
          <cell r="EL5">
            <v>111.87994384765625</v>
          </cell>
          <cell r="EM5">
            <v>20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0</v>
          </cell>
          <cell r="FD5">
            <v>0</v>
          </cell>
          <cell r="FE5">
            <v>0</v>
          </cell>
          <cell r="FF5">
            <v>18.53</v>
          </cell>
          <cell r="FG5">
            <v>18.529998779296875</v>
          </cell>
          <cell r="FH5" t="str">
            <v>С УЛК (ЖЭУ)</v>
          </cell>
          <cell r="FI5">
            <v>44378</v>
          </cell>
          <cell r="FJ5">
            <v>15477</v>
          </cell>
          <cell r="FK5">
            <v>11108</v>
          </cell>
          <cell r="FL5">
            <v>95.2</v>
          </cell>
          <cell r="FM5">
            <v>78.92</v>
          </cell>
          <cell r="FN5">
            <v>81.03</v>
          </cell>
          <cell r="FO5">
            <v>243.09</v>
          </cell>
        </row>
        <row r="6">
          <cell r="AI6" t="str">
            <v>Ул. Локомотивная дом 26</v>
          </cell>
          <cell r="AJ6">
            <v>243.0899658203125</v>
          </cell>
          <cell r="AK6">
            <v>165.7</v>
          </cell>
          <cell r="AL6">
            <v>116.6</v>
          </cell>
          <cell r="AM6">
            <v>0</v>
          </cell>
          <cell r="AN6">
            <v>0</v>
          </cell>
          <cell r="AO6" t="str">
            <v>АО УЖХ Демского района</v>
          </cell>
          <cell r="AP6">
            <v>0</v>
          </cell>
          <cell r="AQ6">
            <v>156.19999999999999</v>
          </cell>
          <cell r="AR6">
            <v>0</v>
          </cell>
          <cell r="AS6">
            <v>0</v>
          </cell>
          <cell r="AT6">
            <v>5</v>
          </cell>
          <cell r="AU6">
            <v>1</v>
          </cell>
          <cell r="AV6">
            <v>17</v>
          </cell>
          <cell r="AW6">
            <v>0</v>
          </cell>
          <cell r="AX6">
            <v>0</v>
          </cell>
          <cell r="AY6">
            <v>0</v>
          </cell>
          <cell r="AZ6">
            <v>131.37</v>
          </cell>
          <cell r="BA6">
            <v>83.33</v>
          </cell>
          <cell r="BB6">
            <v>83.3299560546875</v>
          </cell>
          <cell r="BC6" t="str">
            <v>Непосредственное</v>
          </cell>
          <cell r="BD6" t="str">
            <v>1. Жилой дом</v>
          </cell>
          <cell r="BE6">
            <v>100</v>
          </cell>
          <cell r="BF6" t="str">
            <v>4.Колонка уличная</v>
          </cell>
          <cell r="BG6">
            <v>100</v>
          </cell>
          <cell r="BH6" t="str">
            <v>3.Водяной</v>
          </cell>
          <cell r="BI6" t="str">
            <v>МУП УИС</v>
          </cell>
          <cell r="BJ6">
            <v>100</v>
          </cell>
          <cell r="BK6">
            <v>100</v>
          </cell>
          <cell r="BL6" t="str">
            <v>7.Бревенчатый</v>
          </cell>
          <cell r="BM6">
            <v>22647</v>
          </cell>
          <cell r="BN6">
            <v>22647</v>
          </cell>
          <cell r="BO6" t="str">
            <v>Не оборудован</v>
          </cell>
          <cell r="BP6" t="str">
            <v>1.Абсоцемент(шифер)</v>
          </cell>
          <cell r="BQ6" t="str">
            <v>1.Скатная</v>
          </cell>
          <cell r="BR6">
            <v>185.3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 t="str">
            <v>3.Частный жилищный фонд</v>
          </cell>
          <cell r="BX6">
            <v>5</v>
          </cell>
          <cell r="BY6">
            <v>0</v>
          </cell>
          <cell r="BZ6" t="str">
            <v>4-я</v>
          </cell>
          <cell r="CA6">
            <v>1</v>
          </cell>
          <cell r="CB6">
            <v>27.01</v>
          </cell>
          <cell r="CC6">
            <v>27.009994506835938</v>
          </cell>
          <cell r="CD6">
            <v>27.009994506835938</v>
          </cell>
          <cell r="CE6">
            <v>27.009994506835938</v>
          </cell>
          <cell r="CF6" t="str">
            <v>ООО "Гранд"</v>
          </cell>
          <cell r="CG6">
            <v>0</v>
          </cell>
          <cell r="CH6">
            <v>5</v>
          </cell>
          <cell r="CI6" t="str">
            <v>Дом блокированной застройки</v>
          </cell>
          <cell r="CJ6">
            <v>5</v>
          </cell>
          <cell r="CK6">
            <v>0</v>
          </cell>
          <cell r="CL6">
            <v>0</v>
          </cell>
          <cell r="CM6">
            <v>6</v>
          </cell>
          <cell r="CN6">
            <v>6</v>
          </cell>
          <cell r="CO6">
            <v>6</v>
          </cell>
          <cell r="CP6">
            <v>6</v>
          </cell>
          <cell r="CQ6">
            <v>6</v>
          </cell>
          <cell r="CR6">
            <v>6</v>
          </cell>
          <cell r="CS6">
            <v>0</v>
          </cell>
          <cell r="CT6">
            <v>5</v>
          </cell>
          <cell r="CU6">
            <v>0</v>
          </cell>
          <cell r="CV6">
            <v>0</v>
          </cell>
          <cell r="CW6">
            <v>0</v>
          </cell>
          <cell r="CX6">
            <v>1</v>
          </cell>
          <cell r="CY6">
            <v>1</v>
          </cell>
          <cell r="CZ6">
            <v>647</v>
          </cell>
          <cell r="DA6" t="str">
            <v>Демский</v>
          </cell>
          <cell r="DB6" t="str">
            <v>2.Деревянные</v>
          </cell>
          <cell r="DC6">
            <v>647</v>
          </cell>
          <cell r="DD6">
            <v>647</v>
          </cell>
          <cell r="DE6">
            <v>647</v>
          </cell>
          <cell r="DF6">
            <v>647</v>
          </cell>
          <cell r="DG6">
            <v>647</v>
          </cell>
          <cell r="DH6">
            <v>647</v>
          </cell>
          <cell r="DI6">
            <v>647</v>
          </cell>
          <cell r="DJ6">
            <v>647</v>
          </cell>
          <cell r="DK6">
            <v>0</v>
          </cell>
          <cell r="DL6">
            <v>0</v>
          </cell>
          <cell r="DM6">
            <v>139639</v>
          </cell>
          <cell r="DN6">
            <v>0</v>
          </cell>
          <cell r="DO6" t="str">
            <v>Отсутствует</v>
          </cell>
          <cell r="DP6" t="str">
            <v>УЖХ</v>
          </cell>
          <cell r="DQ6">
            <v>36588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1</v>
          </cell>
          <cell r="EC6">
            <v>0</v>
          </cell>
          <cell r="ED6" t="str">
            <v>3.Зависимая схема</v>
          </cell>
          <cell r="EE6" t="str">
            <v>Верхний</v>
          </cell>
          <cell r="EF6">
            <v>0</v>
          </cell>
          <cell r="EG6">
            <v>0</v>
          </cell>
          <cell r="EH6">
            <v>0</v>
          </cell>
          <cell r="EI6">
            <v>83.33</v>
          </cell>
          <cell r="EJ6">
            <v>10</v>
          </cell>
          <cell r="EK6">
            <v>117.67</v>
          </cell>
          <cell r="EL6">
            <v>117.66998291015625</v>
          </cell>
          <cell r="EM6">
            <v>117.66998291015625</v>
          </cell>
          <cell r="EN6">
            <v>1</v>
          </cell>
          <cell r="EO6">
            <v>1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3.7</v>
          </cell>
          <cell r="EX6">
            <v>1</v>
          </cell>
          <cell r="EY6">
            <v>1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15.26</v>
          </cell>
          <cell r="FG6">
            <v>15.259994506835938</v>
          </cell>
          <cell r="FH6" t="str">
            <v>С УЛК (ЖЭУ)</v>
          </cell>
          <cell r="FI6">
            <v>44378</v>
          </cell>
          <cell r="FJ6">
            <v>15477</v>
          </cell>
          <cell r="FK6">
            <v>11108</v>
          </cell>
          <cell r="FL6">
            <v>165.7</v>
          </cell>
          <cell r="FM6">
            <v>78.92</v>
          </cell>
          <cell r="FN6">
            <v>135.05000000000001</v>
          </cell>
          <cell r="FO6">
            <v>405.15000000000003</v>
          </cell>
        </row>
        <row r="7">
          <cell r="AI7" t="str">
            <v>Ул. Рядовая дом 3</v>
          </cell>
          <cell r="AJ7">
            <v>405.14990234375</v>
          </cell>
          <cell r="AK7">
            <v>387.8</v>
          </cell>
          <cell r="AL7">
            <v>263.7</v>
          </cell>
          <cell r="AM7">
            <v>2</v>
          </cell>
          <cell r="AN7">
            <v>2</v>
          </cell>
          <cell r="AO7" t="str">
            <v>АО УЖХ Демского района</v>
          </cell>
          <cell r="AP7">
            <v>304.8</v>
          </cell>
          <cell r="AQ7">
            <v>82</v>
          </cell>
          <cell r="AR7">
            <v>51.2</v>
          </cell>
          <cell r="AS7">
            <v>0</v>
          </cell>
          <cell r="AT7">
            <v>8</v>
          </cell>
          <cell r="AU7">
            <v>2</v>
          </cell>
          <cell r="AV7">
            <v>22</v>
          </cell>
          <cell r="AW7">
            <v>0</v>
          </cell>
          <cell r="AX7">
            <v>0</v>
          </cell>
          <cell r="AY7">
            <v>0</v>
          </cell>
          <cell r="AZ7">
            <v>507.38</v>
          </cell>
          <cell r="BA7">
            <v>586.5</v>
          </cell>
          <cell r="BB7">
            <v>586.5</v>
          </cell>
          <cell r="BC7" t="str">
            <v>Непосредственное</v>
          </cell>
          <cell r="BD7" t="str">
            <v>1. Жилой дом</v>
          </cell>
          <cell r="BE7">
            <v>70.75</v>
          </cell>
          <cell r="BF7" t="str">
            <v>2.Чёрный</v>
          </cell>
          <cell r="BG7">
            <v>70.75</v>
          </cell>
          <cell r="BH7" t="str">
            <v>3.Водяной</v>
          </cell>
          <cell r="BI7" t="str">
            <v>МУП УИС</v>
          </cell>
          <cell r="BJ7" t="str">
            <v>1. Чугун</v>
          </cell>
          <cell r="BK7">
            <v>70.75</v>
          </cell>
          <cell r="BL7" t="str">
            <v>4.Шлакоблок</v>
          </cell>
          <cell r="BM7">
            <v>19360</v>
          </cell>
          <cell r="BN7">
            <v>19360</v>
          </cell>
          <cell r="BO7" t="str">
            <v>Не оборудован</v>
          </cell>
          <cell r="BP7" t="str">
            <v>2.Лист железный</v>
          </cell>
          <cell r="BQ7" t="str">
            <v>1.Скатная</v>
          </cell>
          <cell r="BR7">
            <v>421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 t="str">
            <v>3.Частный жилищный фонд</v>
          </cell>
          <cell r="BX7">
            <v>8</v>
          </cell>
          <cell r="BY7">
            <v>0</v>
          </cell>
          <cell r="BZ7" t="str">
            <v>3-я</v>
          </cell>
          <cell r="CA7">
            <v>1</v>
          </cell>
          <cell r="CB7">
            <v>27.01</v>
          </cell>
          <cell r="CC7">
            <v>1</v>
          </cell>
          <cell r="CD7">
            <v>1</v>
          </cell>
          <cell r="CE7">
            <v>1</v>
          </cell>
          <cell r="CF7" t="str">
            <v>ООО "Гранд"</v>
          </cell>
          <cell r="CG7">
            <v>6</v>
          </cell>
          <cell r="CH7">
            <v>2</v>
          </cell>
          <cell r="CI7">
            <v>2</v>
          </cell>
          <cell r="CJ7">
            <v>2</v>
          </cell>
          <cell r="CK7">
            <v>0</v>
          </cell>
          <cell r="CL7">
            <v>0</v>
          </cell>
          <cell r="CM7">
            <v>9</v>
          </cell>
          <cell r="CN7">
            <v>51.2</v>
          </cell>
          <cell r="CO7">
            <v>0</v>
          </cell>
          <cell r="CP7">
            <v>51.2</v>
          </cell>
          <cell r="CQ7">
            <v>51.199981689453125</v>
          </cell>
          <cell r="CR7">
            <v>51.199981689453125</v>
          </cell>
          <cell r="CS7">
            <v>0</v>
          </cell>
          <cell r="CT7">
            <v>8</v>
          </cell>
          <cell r="CU7">
            <v>0</v>
          </cell>
          <cell r="CV7">
            <v>0</v>
          </cell>
          <cell r="CW7">
            <v>0</v>
          </cell>
          <cell r="CX7">
            <v>1</v>
          </cell>
          <cell r="CY7">
            <v>1</v>
          </cell>
          <cell r="CZ7">
            <v>1975</v>
          </cell>
          <cell r="DA7" t="str">
            <v>Демский</v>
          </cell>
          <cell r="DB7" t="str">
            <v>2.Деревянные</v>
          </cell>
          <cell r="DC7">
            <v>1975</v>
          </cell>
          <cell r="DD7">
            <v>1975</v>
          </cell>
          <cell r="DE7">
            <v>1975</v>
          </cell>
          <cell r="DF7">
            <v>1975</v>
          </cell>
          <cell r="DG7">
            <v>1975</v>
          </cell>
          <cell r="DH7">
            <v>1975</v>
          </cell>
          <cell r="DI7">
            <v>1975</v>
          </cell>
          <cell r="DJ7">
            <v>1975</v>
          </cell>
          <cell r="DK7">
            <v>0</v>
          </cell>
          <cell r="DL7">
            <v>0</v>
          </cell>
          <cell r="DM7">
            <v>728563</v>
          </cell>
          <cell r="DN7">
            <v>0</v>
          </cell>
          <cell r="DO7">
            <v>0</v>
          </cell>
          <cell r="DP7" t="str">
            <v>УЖХ</v>
          </cell>
          <cell r="DQ7">
            <v>35789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 t="str">
            <v>3.Зависимая схема</v>
          </cell>
          <cell r="EE7" t="str">
            <v>Верхний</v>
          </cell>
          <cell r="EF7">
            <v>0</v>
          </cell>
          <cell r="EG7">
            <v>0</v>
          </cell>
          <cell r="EH7">
            <v>0</v>
          </cell>
          <cell r="EI7">
            <v>586.5</v>
          </cell>
          <cell r="EJ7">
            <v>28.8</v>
          </cell>
          <cell r="EK7">
            <v>248</v>
          </cell>
          <cell r="EL7">
            <v>108</v>
          </cell>
          <cell r="EM7">
            <v>41.58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81</v>
          </cell>
          <cell r="FB7">
            <v>1</v>
          </cell>
          <cell r="FC7">
            <v>1</v>
          </cell>
          <cell r="FD7">
            <v>0</v>
          </cell>
          <cell r="FE7">
            <v>0</v>
          </cell>
          <cell r="FF7">
            <v>20.59</v>
          </cell>
          <cell r="FG7">
            <v>20.589996337890625</v>
          </cell>
          <cell r="FH7" t="str">
            <v>С УЛК (ЖЭУ)</v>
          </cell>
          <cell r="FI7">
            <v>43647</v>
          </cell>
          <cell r="FJ7">
            <v>15477</v>
          </cell>
          <cell r="FK7">
            <v>15477</v>
          </cell>
          <cell r="FL7">
            <v>439</v>
          </cell>
          <cell r="FM7">
            <v>78.92</v>
          </cell>
          <cell r="FN7">
            <v>847.44</v>
          </cell>
          <cell r="FO7">
            <v>2542.3200000000002</v>
          </cell>
        </row>
        <row r="8">
          <cell r="AI8" t="str">
            <v>Ул. Рядовая дом 3/1</v>
          </cell>
          <cell r="AJ8">
            <v>2542.318359375</v>
          </cell>
          <cell r="AK8">
            <v>675.9</v>
          </cell>
          <cell r="AL8">
            <v>392</v>
          </cell>
          <cell r="AM8">
            <v>1</v>
          </cell>
          <cell r="AN8">
            <v>1</v>
          </cell>
          <cell r="AO8" t="str">
            <v>АО УЖХ Демского района</v>
          </cell>
          <cell r="AP8">
            <v>676.8</v>
          </cell>
          <cell r="AQ8">
            <v>0</v>
          </cell>
          <cell r="AR8">
            <v>73</v>
          </cell>
          <cell r="AS8">
            <v>4.5999999999999996</v>
          </cell>
          <cell r="AT8">
            <v>14</v>
          </cell>
          <cell r="AU8">
            <v>5</v>
          </cell>
          <cell r="AV8">
            <v>30</v>
          </cell>
          <cell r="AW8">
            <v>0</v>
          </cell>
          <cell r="AX8">
            <v>0</v>
          </cell>
          <cell r="AY8">
            <v>0</v>
          </cell>
          <cell r="AZ8">
            <v>390.5</v>
          </cell>
          <cell r="BA8">
            <v>1354.2</v>
          </cell>
          <cell r="BB8">
            <v>1354.19921875</v>
          </cell>
          <cell r="BC8" t="str">
            <v>Непосредственное</v>
          </cell>
          <cell r="BD8" t="str">
            <v>1. Жилой дом</v>
          </cell>
          <cell r="BE8">
            <v>34.200000000000003</v>
          </cell>
          <cell r="BF8" t="str">
            <v>2.Чёрный</v>
          </cell>
          <cell r="BG8">
            <v>34.199981689453125</v>
          </cell>
          <cell r="BH8" t="str">
            <v>3.Водяной</v>
          </cell>
          <cell r="BI8" t="str">
            <v>МУП УИС</v>
          </cell>
          <cell r="BJ8" t="str">
            <v>1. Чугун</v>
          </cell>
          <cell r="BK8">
            <v>34.199981689453125</v>
          </cell>
          <cell r="BL8" t="str">
            <v>2.Кирпич</v>
          </cell>
          <cell r="BM8">
            <v>29587</v>
          </cell>
          <cell r="BN8">
            <v>14</v>
          </cell>
          <cell r="BO8" t="str">
            <v>Оборудован</v>
          </cell>
          <cell r="BP8" t="str">
            <v>4.Мягк/рулонная</v>
          </cell>
          <cell r="BQ8" t="str">
            <v>2.Плоская</v>
          </cell>
          <cell r="BR8">
            <v>242</v>
          </cell>
          <cell r="BS8">
            <v>220.1</v>
          </cell>
          <cell r="BT8">
            <v>220.0999755859375</v>
          </cell>
          <cell r="BU8">
            <v>220.0999755859375</v>
          </cell>
          <cell r="BV8">
            <v>0</v>
          </cell>
          <cell r="BW8" t="str">
            <v>3.Частный жилищный фонд</v>
          </cell>
          <cell r="BX8">
            <v>14</v>
          </cell>
          <cell r="BY8">
            <v>0</v>
          </cell>
          <cell r="BZ8" t="str">
            <v>2-я</v>
          </cell>
          <cell r="CA8">
            <v>1</v>
          </cell>
          <cell r="CB8">
            <v>27.01</v>
          </cell>
          <cell r="CC8">
            <v>1</v>
          </cell>
          <cell r="CD8">
            <v>1</v>
          </cell>
          <cell r="CE8">
            <v>1</v>
          </cell>
          <cell r="CF8" t="str">
            <v>ООО "Гранд"</v>
          </cell>
          <cell r="CG8">
            <v>14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14</v>
          </cell>
          <cell r="CN8">
            <v>77.599999999999994</v>
          </cell>
          <cell r="CO8">
            <v>0</v>
          </cell>
          <cell r="CP8">
            <v>297.7</v>
          </cell>
          <cell r="CQ8">
            <v>297.699951171875</v>
          </cell>
          <cell r="CR8">
            <v>297.699951171875</v>
          </cell>
          <cell r="CS8">
            <v>1</v>
          </cell>
          <cell r="CT8">
            <v>14</v>
          </cell>
          <cell r="CU8">
            <v>0</v>
          </cell>
          <cell r="CV8">
            <v>0</v>
          </cell>
          <cell r="CW8">
            <v>0</v>
          </cell>
          <cell r="CX8">
            <v>1</v>
          </cell>
          <cell r="CY8">
            <v>1</v>
          </cell>
          <cell r="CZ8">
            <v>3136</v>
          </cell>
          <cell r="DA8" t="str">
            <v>Демский</v>
          </cell>
          <cell r="DB8" t="str">
            <v>3.Сборные ж/б панели</v>
          </cell>
          <cell r="DC8">
            <v>3136</v>
          </cell>
          <cell r="DD8">
            <v>3136</v>
          </cell>
          <cell r="DE8">
            <v>3136</v>
          </cell>
          <cell r="DF8">
            <v>3136</v>
          </cell>
          <cell r="DG8">
            <v>3136</v>
          </cell>
          <cell r="DH8">
            <v>3136</v>
          </cell>
          <cell r="DI8">
            <v>3136</v>
          </cell>
          <cell r="DJ8">
            <v>3136</v>
          </cell>
          <cell r="DK8">
            <v>0</v>
          </cell>
          <cell r="DL8">
            <v>0</v>
          </cell>
          <cell r="DM8">
            <v>1569872</v>
          </cell>
          <cell r="DN8">
            <v>1</v>
          </cell>
          <cell r="DO8">
            <v>1</v>
          </cell>
          <cell r="DP8" t="str">
            <v>УЖХ</v>
          </cell>
          <cell r="DQ8">
            <v>35785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 t="str">
            <v>3.Зависимая схема</v>
          </cell>
          <cell r="EE8" t="str">
            <v>Верхний</v>
          </cell>
          <cell r="EF8">
            <v>0</v>
          </cell>
          <cell r="EG8">
            <v>0</v>
          </cell>
          <cell r="EH8">
            <v>0</v>
          </cell>
          <cell r="EI8">
            <v>1354.2</v>
          </cell>
          <cell r="EJ8">
            <v>101</v>
          </cell>
          <cell r="EK8">
            <v>163.80000000000001</v>
          </cell>
          <cell r="EL8">
            <v>163.7999267578125</v>
          </cell>
          <cell r="EM8">
            <v>67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58.7</v>
          </cell>
          <cell r="FB8">
            <v>1</v>
          </cell>
          <cell r="FC8">
            <v>1</v>
          </cell>
          <cell r="FD8">
            <v>0</v>
          </cell>
          <cell r="FE8">
            <v>0</v>
          </cell>
          <cell r="FF8">
            <v>18.37</v>
          </cell>
          <cell r="FG8">
            <v>18.3699951171875</v>
          </cell>
          <cell r="FH8" t="str">
            <v>С УЛК (ЖЭУ)</v>
          </cell>
          <cell r="FI8">
            <v>43647</v>
          </cell>
          <cell r="FJ8">
            <v>15477</v>
          </cell>
          <cell r="FK8">
            <v>15477</v>
          </cell>
          <cell r="FL8">
            <v>973.6</v>
          </cell>
          <cell r="FM8">
            <v>78.92</v>
          </cell>
          <cell r="FN8">
            <v>1483.0200000000002</v>
          </cell>
          <cell r="FO8">
            <v>4449.0600000000004</v>
          </cell>
        </row>
        <row r="9">
          <cell r="AI9" t="str">
            <v>Ул. Рядовая дом 5</v>
          </cell>
          <cell r="AJ9">
            <v>4449.05859375</v>
          </cell>
          <cell r="AK9">
            <v>496.5</v>
          </cell>
          <cell r="AL9">
            <v>320.89999999999998</v>
          </cell>
          <cell r="AM9">
            <v>2</v>
          </cell>
          <cell r="AN9">
            <v>2</v>
          </cell>
          <cell r="AO9" t="str">
            <v>АО УЖХ Демского района</v>
          </cell>
          <cell r="AP9">
            <v>403.7</v>
          </cell>
          <cell r="AQ9">
            <v>91.3</v>
          </cell>
          <cell r="AR9">
            <v>61</v>
          </cell>
          <cell r="AS9">
            <v>0</v>
          </cell>
          <cell r="AT9">
            <v>8</v>
          </cell>
          <cell r="AU9">
            <v>2</v>
          </cell>
          <cell r="AV9">
            <v>16</v>
          </cell>
          <cell r="AW9">
            <v>0</v>
          </cell>
          <cell r="AX9">
            <v>0</v>
          </cell>
          <cell r="AY9">
            <v>0</v>
          </cell>
          <cell r="AZ9">
            <v>372.7</v>
          </cell>
          <cell r="BA9">
            <v>540.9</v>
          </cell>
          <cell r="BB9">
            <v>540.89990234375</v>
          </cell>
          <cell r="BC9" t="str">
            <v>Непосредственное</v>
          </cell>
          <cell r="BD9" t="str">
            <v>1. Жилой дом</v>
          </cell>
          <cell r="BE9">
            <v>68.599999999999994</v>
          </cell>
          <cell r="BF9" t="str">
            <v>1.Оцинкованный</v>
          </cell>
          <cell r="BG9">
            <v>68.5999755859375</v>
          </cell>
          <cell r="BH9" t="str">
            <v>3.Водяной</v>
          </cell>
          <cell r="BI9" t="str">
            <v>МУП УИС</v>
          </cell>
          <cell r="BJ9" t="str">
            <v>1. Чугун</v>
          </cell>
          <cell r="BK9">
            <v>68.5999755859375</v>
          </cell>
          <cell r="BL9" t="str">
            <v>2.Кирпич</v>
          </cell>
          <cell r="BM9">
            <v>13881</v>
          </cell>
          <cell r="BN9">
            <v>13881</v>
          </cell>
          <cell r="BO9" t="str">
            <v>Не оборудован</v>
          </cell>
          <cell r="BP9" t="str">
            <v>2.Лист железный</v>
          </cell>
          <cell r="BQ9" t="str">
            <v>1.Скатная</v>
          </cell>
          <cell r="BR9">
            <v>519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 t="str">
            <v>3.Частный жилищный фонд</v>
          </cell>
          <cell r="BX9">
            <v>8</v>
          </cell>
          <cell r="BY9">
            <v>0</v>
          </cell>
          <cell r="BZ9" t="str">
            <v>2-я</v>
          </cell>
          <cell r="CA9">
            <v>1</v>
          </cell>
          <cell r="CB9">
            <v>27.01</v>
          </cell>
          <cell r="CC9">
            <v>1</v>
          </cell>
          <cell r="CD9">
            <v>1</v>
          </cell>
          <cell r="CE9">
            <v>1</v>
          </cell>
          <cell r="CF9" t="str">
            <v>ООО "Гранд"</v>
          </cell>
          <cell r="CG9">
            <v>6</v>
          </cell>
          <cell r="CH9">
            <v>2</v>
          </cell>
          <cell r="CI9">
            <v>2</v>
          </cell>
          <cell r="CJ9">
            <v>2</v>
          </cell>
          <cell r="CK9">
            <v>0</v>
          </cell>
          <cell r="CL9">
            <v>0</v>
          </cell>
          <cell r="CM9">
            <v>13</v>
          </cell>
          <cell r="CN9">
            <v>61</v>
          </cell>
          <cell r="CO9">
            <v>0</v>
          </cell>
          <cell r="CP9">
            <v>61</v>
          </cell>
          <cell r="CQ9">
            <v>61</v>
          </cell>
          <cell r="CR9">
            <v>61</v>
          </cell>
          <cell r="CS9">
            <v>0</v>
          </cell>
          <cell r="CT9">
            <v>8</v>
          </cell>
          <cell r="CU9">
            <v>0</v>
          </cell>
          <cell r="CV9">
            <v>0</v>
          </cell>
          <cell r="CW9">
            <v>0</v>
          </cell>
          <cell r="CX9">
            <v>1</v>
          </cell>
          <cell r="CY9">
            <v>1</v>
          </cell>
          <cell r="CZ9">
            <v>2659</v>
          </cell>
          <cell r="DA9" t="str">
            <v>Демский</v>
          </cell>
          <cell r="DB9" t="str">
            <v>2.Деревянные</v>
          </cell>
          <cell r="DC9">
            <v>2659</v>
          </cell>
          <cell r="DD9">
            <v>2659</v>
          </cell>
          <cell r="DE9">
            <v>2659</v>
          </cell>
          <cell r="DF9">
            <v>2659</v>
          </cell>
          <cell r="DG9">
            <v>2659</v>
          </cell>
          <cell r="DH9">
            <v>2659</v>
          </cell>
          <cell r="DI9">
            <v>2659</v>
          </cell>
          <cell r="DJ9">
            <v>2659</v>
          </cell>
          <cell r="DK9">
            <v>0</v>
          </cell>
          <cell r="DL9">
            <v>0</v>
          </cell>
          <cell r="DM9">
            <v>980886</v>
          </cell>
          <cell r="DN9">
            <v>0</v>
          </cell>
          <cell r="DO9">
            <v>0</v>
          </cell>
          <cell r="DP9" t="str">
            <v>УЖХ</v>
          </cell>
          <cell r="DQ9">
            <v>35492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 t="str">
            <v>3.Зависимая схема</v>
          </cell>
          <cell r="EE9" t="str">
            <v>Верхний</v>
          </cell>
          <cell r="EF9">
            <v>0</v>
          </cell>
          <cell r="EG9">
            <v>0</v>
          </cell>
          <cell r="EH9">
            <v>0</v>
          </cell>
          <cell r="EI9">
            <v>540.9</v>
          </cell>
          <cell r="EJ9">
            <v>540.89990234375</v>
          </cell>
          <cell r="EK9">
            <v>313.5</v>
          </cell>
          <cell r="EL9">
            <v>313.5</v>
          </cell>
          <cell r="EM9">
            <v>59.2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17.899999999999999</v>
          </cell>
          <cell r="FG9">
            <v>17.899993896484375</v>
          </cell>
          <cell r="FH9" t="str">
            <v>С УЛК (ЖЭУ)</v>
          </cell>
          <cell r="FI9">
            <v>43647</v>
          </cell>
          <cell r="FJ9">
            <v>15477</v>
          </cell>
          <cell r="FK9">
            <v>15477</v>
          </cell>
          <cell r="FL9">
            <v>557.5</v>
          </cell>
          <cell r="FM9">
            <v>78.92</v>
          </cell>
          <cell r="FN9">
            <v>847.44</v>
          </cell>
          <cell r="FO9">
            <v>2542.3200000000002</v>
          </cell>
        </row>
        <row r="10">
          <cell r="AI10" t="str">
            <v>Ул. Рядовая дом 5/1</v>
          </cell>
          <cell r="AJ10">
            <v>2542.318359375</v>
          </cell>
          <cell r="AK10">
            <v>658.3</v>
          </cell>
          <cell r="AL10">
            <v>379.2</v>
          </cell>
          <cell r="AM10">
            <v>1</v>
          </cell>
          <cell r="AN10">
            <v>1</v>
          </cell>
          <cell r="AO10" t="str">
            <v>АО УЖХ Демского района</v>
          </cell>
          <cell r="AP10">
            <v>557.4</v>
          </cell>
          <cell r="AQ10">
            <v>100.9</v>
          </cell>
          <cell r="AR10">
            <v>75</v>
          </cell>
          <cell r="AS10">
            <v>2.6</v>
          </cell>
          <cell r="AT10">
            <v>14</v>
          </cell>
          <cell r="AU10">
            <v>5</v>
          </cell>
          <cell r="AV10">
            <v>27</v>
          </cell>
          <cell r="AW10">
            <v>0</v>
          </cell>
          <cell r="AX10">
            <v>0</v>
          </cell>
          <cell r="AY10">
            <v>0</v>
          </cell>
          <cell r="AZ10">
            <v>535.29999999999995</v>
          </cell>
          <cell r="BA10">
            <v>2272.5</v>
          </cell>
          <cell r="BB10">
            <v>2272.5</v>
          </cell>
          <cell r="BC10" t="str">
            <v>Непосредственное</v>
          </cell>
          <cell r="BD10" t="str">
            <v>1. Жилой дом</v>
          </cell>
          <cell r="BE10">
            <v>34.200000000000003</v>
          </cell>
          <cell r="BF10" t="str">
            <v>2.Чёрный</v>
          </cell>
          <cell r="BG10">
            <v>34.199981689453125</v>
          </cell>
          <cell r="BH10" t="str">
            <v>3.Водяной</v>
          </cell>
          <cell r="BI10" t="str">
            <v>МУП УИС</v>
          </cell>
          <cell r="BJ10" t="str">
            <v>1. Чугун</v>
          </cell>
          <cell r="BK10">
            <v>34.199981689453125</v>
          </cell>
          <cell r="BL10" t="str">
            <v>2.Кирпич</v>
          </cell>
          <cell r="BM10">
            <v>29587</v>
          </cell>
          <cell r="BN10">
            <v>14</v>
          </cell>
          <cell r="BO10" t="str">
            <v>Оборудован</v>
          </cell>
          <cell r="BP10" t="str">
            <v>4.Мягк/рулонная</v>
          </cell>
          <cell r="BQ10" t="str">
            <v>2.Плоская</v>
          </cell>
          <cell r="BR10">
            <v>242</v>
          </cell>
          <cell r="BS10">
            <v>223.1</v>
          </cell>
          <cell r="BT10">
            <v>223.0999755859375</v>
          </cell>
          <cell r="BU10">
            <v>223.0999755859375</v>
          </cell>
          <cell r="BV10">
            <v>0</v>
          </cell>
          <cell r="BW10" t="str">
            <v>3.Частный жилищный фонд</v>
          </cell>
          <cell r="BX10">
            <v>14</v>
          </cell>
          <cell r="BY10">
            <v>0</v>
          </cell>
          <cell r="BZ10" t="str">
            <v>2-я</v>
          </cell>
          <cell r="CA10">
            <v>1</v>
          </cell>
          <cell r="CB10">
            <v>27.01</v>
          </cell>
          <cell r="CC10">
            <v>1</v>
          </cell>
          <cell r="CD10">
            <v>1</v>
          </cell>
          <cell r="CE10">
            <v>1</v>
          </cell>
          <cell r="CF10" t="str">
            <v>ООО "Гранд"</v>
          </cell>
          <cell r="CG10">
            <v>12</v>
          </cell>
          <cell r="CH10">
            <v>2</v>
          </cell>
          <cell r="CI10">
            <v>2</v>
          </cell>
          <cell r="CJ10">
            <v>2</v>
          </cell>
          <cell r="CK10">
            <v>0</v>
          </cell>
          <cell r="CL10">
            <v>0</v>
          </cell>
          <cell r="CM10">
            <v>14</v>
          </cell>
          <cell r="CN10">
            <v>77.599999999999994</v>
          </cell>
          <cell r="CO10">
            <v>0</v>
          </cell>
          <cell r="CP10">
            <v>300.7</v>
          </cell>
          <cell r="CQ10">
            <v>300.699951171875</v>
          </cell>
          <cell r="CR10">
            <v>300.699951171875</v>
          </cell>
          <cell r="CS10">
            <v>1</v>
          </cell>
          <cell r="CT10">
            <v>14</v>
          </cell>
          <cell r="CU10">
            <v>0</v>
          </cell>
          <cell r="CV10">
            <v>0</v>
          </cell>
          <cell r="CW10">
            <v>0</v>
          </cell>
          <cell r="CX10">
            <v>1</v>
          </cell>
          <cell r="CY10">
            <v>1</v>
          </cell>
          <cell r="CZ10">
            <v>3179</v>
          </cell>
          <cell r="DA10" t="str">
            <v>Демский</v>
          </cell>
          <cell r="DB10" t="str">
            <v>3.Сборные ж/б панели</v>
          </cell>
          <cell r="DC10">
            <v>3179</v>
          </cell>
          <cell r="DD10">
            <v>3179</v>
          </cell>
          <cell r="DE10">
            <v>3179</v>
          </cell>
          <cell r="DF10">
            <v>3179</v>
          </cell>
          <cell r="DG10">
            <v>3179</v>
          </cell>
          <cell r="DH10">
            <v>3179</v>
          </cell>
          <cell r="DI10">
            <v>3179</v>
          </cell>
          <cell r="DJ10">
            <v>3179</v>
          </cell>
          <cell r="DK10">
            <v>0</v>
          </cell>
          <cell r="DL10">
            <v>0</v>
          </cell>
          <cell r="DM10">
            <v>1593505</v>
          </cell>
          <cell r="DN10">
            <v>1</v>
          </cell>
          <cell r="DO10">
            <v>1</v>
          </cell>
          <cell r="DP10" t="str">
            <v>УЖХ</v>
          </cell>
          <cell r="DQ10">
            <v>35502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 t="str">
            <v>3.Зависимая схема</v>
          </cell>
          <cell r="EE10" t="str">
            <v>Верхний</v>
          </cell>
          <cell r="EF10">
            <v>0</v>
          </cell>
          <cell r="EG10">
            <v>0</v>
          </cell>
          <cell r="EH10">
            <v>0</v>
          </cell>
          <cell r="EI10">
            <v>2272.5</v>
          </cell>
          <cell r="EJ10">
            <v>108.5</v>
          </cell>
          <cell r="EK10">
            <v>311.39999999999998</v>
          </cell>
          <cell r="EL10">
            <v>311.39990234375</v>
          </cell>
          <cell r="EM10">
            <v>55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60.4</v>
          </cell>
          <cell r="FB10">
            <v>1</v>
          </cell>
          <cell r="FC10">
            <v>1</v>
          </cell>
          <cell r="FD10">
            <v>0</v>
          </cell>
          <cell r="FE10">
            <v>0</v>
          </cell>
          <cell r="FF10">
            <v>21.59</v>
          </cell>
          <cell r="FG10">
            <v>21.589996337890625</v>
          </cell>
          <cell r="FH10" t="str">
            <v>С УЛК (ЖЭУ)</v>
          </cell>
          <cell r="FI10">
            <v>43647</v>
          </cell>
          <cell r="FJ10">
            <v>15477</v>
          </cell>
          <cell r="FK10">
            <v>15477</v>
          </cell>
          <cell r="FL10">
            <v>959</v>
          </cell>
          <cell r="FM10">
            <v>78.92</v>
          </cell>
          <cell r="FN10">
            <v>1483.0200000000002</v>
          </cell>
          <cell r="FO10">
            <v>4449.0600000000004</v>
          </cell>
        </row>
        <row r="11">
          <cell r="AI11" t="str">
            <v>Ул. Рядовая дом 7</v>
          </cell>
          <cell r="AJ11">
            <v>4449.05859375</v>
          </cell>
          <cell r="AK11">
            <v>497.2</v>
          </cell>
          <cell r="AL11">
            <v>320</v>
          </cell>
          <cell r="AM11">
            <v>2</v>
          </cell>
          <cell r="AN11">
            <v>2</v>
          </cell>
          <cell r="AO11" t="str">
            <v>АО УЖХ Демского района</v>
          </cell>
          <cell r="AP11">
            <v>440.9</v>
          </cell>
          <cell r="AQ11">
            <v>53.3</v>
          </cell>
          <cell r="AR11">
            <v>60.8</v>
          </cell>
          <cell r="AS11">
            <v>0</v>
          </cell>
          <cell r="AT11">
            <v>8</v>
          </cell>
          <cell r="AU11">
            <v>2</v>
          </cell>
          <cell r="AV11">
            <v>27</v>
          </cell>
          <cell r="AW11">
            <v>0</v>
          </cell>
          <cell r="AX11">
            <v>0</v>
          </cell>
          <cell r="AY11">
            <v>0</v>
          </cell>
          <cell r="AZ11">
            <v>295.7</v>
          </cell>
          <cell r="BA11">
            <v>519.9</v>
          </cell>
          <cell r="BB11">
            <v>519.89990234375</v>
          </cell>
          <cell r="BC11" t="str">
            <v>Непосредственное</v>
          </cell>
          <cell r="BD11" t="str">
            <v>1. Жилой дом</v>
          </cell>
          <cell r="BE11">
            <v>67.8</v>
          </cell>
          <cell r="BF11" t="str">
            <v>2.Чёрный</v>
          </cell>
          <cell r="BG11">
            <v>67.79998779296875</v>
          </cell>
          <cell r="BH11" t="str">
            <v>3.Водяной</v>
          </cell>
          <cell r="BI11" t="str">
            <v>МУП УИС</v>
          </cell>
          <cell r="BJ11" t="str">
            <v>1. Чугун</v>
          </cell>
          <cell r="BK11">
            <v>67.79998779296875</v>
          </cell>
          <cell r="BL11" t="str">
            <v>2.Кирпич</v>
          </cell>
          <cell r="BM11">
            <v>14246</v>
          </cell>
          <cell r="BN11">
            <v>14246</v>
          </cell>
          <cell r="BO11" t="str">
            <v>Не оборудован</v>
          </cell>
          <cell r="BP11" t="str">
            <v>1.Абсоцемент(шифер)</v>
          </cell>
          <cell r="BQ11" t="str">
            <v>1.Скатная</v>
          </cell>
          <cell r="BR11">
            <v>449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 t="str">
            <v>3.Частный жилищный фонд</v>
          </cell>
          <cell r="BX11">
            <v>8</v>
          </cell>
          <cell r="BY11">
            <v>0</v>
          </cell>
          <cell r="BZ11" t="str">
            <v>2-я</v>
          </cell>
          <cell r="CA11">
            <v>1</v>
          </cell>
          <cell r="CB11">
            <v>27.01</v>
          </cell>
          <cell r="CC11">
            <v>1</v>
          </cell>
          <cell r="CD11">
            <v>1</v>
          </cell>
          <cell r="CE11">
            <v>1</v>
          </cell>
          <cell r="CF11" t="str">
            <v>ООО "Гранд"</v>
          </cell>
          <cell r="CG11">
            <v>7</v>
          </cell>
          <cell r="CH11">
            <v>1</v>
          </cell>
          <cell r="CI11">
            <v>1</v>
          </cell>
          <cell r="CJ11">
            <v>1</v>
          </cell>
          <cell r="CK11">
            <v>0</v>
          </cell>
          <cell r="CL11">
            <v>0</v>
          </cell>
          <cell r="CM11">
            <v>13</v>
          </cell>
          <cell r="CN11">
            <v>60.8</v>
          </cell>
          <cell r="CO11">
            <v>0</v>
          </cell>
          <cell r="CP11">
            <v>60.8</v>
          </cell>
          <cell r="CQ11">
            <v>60.79998779296875</v>
          </cell>
          <cell r="CR11">
            <v>60.79998779296875</v>
          </cell>
          <cell r="CS11">
            <v>0</v>
          </cell>
          <cell r="CT11">
            <v>8</v>
          </cell>
          <cell r="CU11">
            <v>0</v>
          </cell>
          <cell r="CV11">
            <v>0</v>
          </cell>
          <cell r="CW11">
            <v>0</v>
          </cell>
          <cell r="CX11">
            <v>1</v>
          </cell>
          <cell r="CY11">
            <v>1</v>
          </cell>
          <cell r="CZ11">
            <v>2588</v>
          </cell>
          <cell r="DA11" t="str">
            <v>Демский</v>
          </cell>
          <cell r="DB11" t="str">
            <v>2.Деревянные</v>
          </cell>
          <cell r="DC11">
            <v>2588</v>
          </cell>
          <cell r="DD11">
            <v>2588</v>
          </cell>
          <cell r="DE11">
            <v>2588</v>
          </cell>
          <cell r="DF11">
            <v>2588</v>
          </cell>
          <cell r="DG11">
            <v>2588</v>
          </cell>
          <cell r="DH11">
            <v>2588</v>
          </cell>
          <cell r="DI11">
            <v>2588</v>
          </cell>
          <cell r="DJ11">
            <v>2588</v>
          </cell>
          <cell r="DK11">
            <v>0</v>
          </cell>
          <cell r="DL11">
            <v>0</v>
          </cell>
          <cell r="DM11">
            <v>954695</v>
          </cell>
          <cell r="DN11">
            <v>0</v>
          </cell>
          <cell r="DO11">
            <v>0</v>
          </cell>
          <cell r="DP11" t="str">
            <v>УЖХ</v>
          </cell>
          <cell r="DQ11">
            <v>35492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 t="str">
            <v>3.Зависимая схема</v>
          </cell>
          <cell r="EE11" t="str">
            <v>Верхний</v>
          </cell>
          <cell r="EF11">
            <v>0</v>
          </cell>
          <cell r="EG11">
            <v>0</v>
          </cell>
          <cell r="EH11">
            <v>0</v>
          </cell>
          <cell r="EI11">
            <v>519.9</v>
          </cell>
          <cell r="EJ11">
            <v>519.89990234375</v>
          </cell>
          <cell r="EK11">
            <v>176.5</v>
          </cell>
          <cell r="EL11">
            <v>60</v>
          </cell>
          <cell r="EM11">
            <v>59.2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21</v>
          </cell>
          <cell r="FG11">
            <v>21</v>
          </cell>
          <cell r="FH11" t="str">
            <v>С УЛК (ЖЭУ)</v>
          </cell>
          <cell r="FI11">
            <v>43647</v>
          </cell>
          <cell r="FJ11">
            <v>15477</v>
          </cell>
          <cell r="FK11">
            <v>15477</v>
          </cell>
          <cell r="FL11">
            <v>558</v>
          </cell>
          <cell r="FM11">
            <v>78.92</v>
          </cell>
          <cell r="FN11">
            <v>847.44</v>
          </cell>
          <cell r="FO11">
            <v>2542.3200000000002</v>
          </cell>
        </row>
        <row r="12">
          <cell r="AI12" t="str">
            <v>Ул. Рядовая дом 15</v>
          </cell>
          <cell r="AJ12">
            <v>2542.318359375</v>
          </cell>
          <cell r="AK12">
            <v>498.5</v>
          </cell>
          <cell r="AL12">
            <v>324.8</v>
          </cell>
          <cell r="AM12">
            <v>2</v>
          </cell>
          <cell r="AN12">
            <v>2</v>
          </cell>
          <cell r="AO12" t="str">
            <v>АО УЖХ Демского района</v>
          </cell>
          <cell r="AP12">
            <v>430.3</v>
          </cell>
          <cell r="AQ12">
            <v>68.2</v>
          </cell>
          <cell r="AR12">
            <v>66.2</v>
          </cell>
          <cell r="AS12">
            <v>0</v>
          </cell>
          <cell r="AT12">
            <v>8</v>
          </cell>
          <cell r="AU12">
            <v>2</v>
          </cell>
          <cell r="AV12">
            <v>25</v>
          </cell>
          <cell r="AW12">
            <v>0</v>
          </cell>
          <cell r="AX12">
            <v>0</v>
          </cell>
          <cell r="AY12">
            <v>0</v>
          </cell>
          <cell r="AZ12">
            <v>396.43</v>
          </cell>
          <cell r="BA12">
            <v>1342.03</v>
          </cell>
          <cell r="BB12">
            <v>1342.029296875</v>
          </cell>
          <cell r="BC12" t="str">
            <v>Непосредственное</v>
          </cell>
          <cell r="BD12" t="str">
            <v>1. Жилой дом</v>
          </cell>
          <cell r="BE12">
            <v>70.2</v>
          </cell>
          <cell r="BF12" t="str">
            <v>1.Оцинкованный</v>
          </cell>
          <cell r="BG12">
            <v>70.199951171875</v>
          </cell>
          <cell r="BH12" t="str">
            <v>3.Водяной</v>
          </cell>
          <cell r="BI12" t="str">
            <v>МУП УИС</v>
          </cell>
          <cell r="BJ12" t="str">
            <v>1. Чугун</v>
          </cell>
          <cell r="BK12">
            <v>70.199951171875</v>
          </cell>
          <cell r="BL12" t="str">
            <v>2.Кирпич</v>
          </cell>
          <cell r="BM12">
            <v>13150</v>
          </cell>
          <cell r="BN12">
            <v>13150</v>
          </cell>
          <cell r="BO12" t="str">
            <v>Не оборудован</v>
          </cell>
          <cell r="BP12" t="str">
            <v>2.Лист железный</v>
          </cell>
          <cell r="BQ12" t="str">
            <v>1.Скатная</v>
          </cell>
          <cell r="BR12">
            <v>413.4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 t="str">
            <v>3.Частный жилищный фонд</v>
          </cell>
          <cell r="BX12">
            <v>8</v>
          </cell>
          <cell r="BY12">
            <v>0</v>
          </cell>
          <cell r="BZ12" t="str">
            <v>2-я</v>
          </cell>
          <cell r="CA12">
            <v>1</v>
          </cell>
          <cell r="CB12">
            <v>27.01</v>
          </cell>
          <cell r="CC12">
            <v>1</v>
          </cell>
          <cell r="CD12">
            <v>1</v>
          </cell>
          <cell r="CE12">
            <v>1</v>
          </cell>
          <cell r="CF12" t="str">
            <v>ООО "Гранд"</v>
          </cell>
          <cell r="CG12">
            <v>7</v>
          </cell>
          <cell r="CH12">
            <v>1</v>
          </cell>
          <cell r="CI12">
            <v>1</v>
          </cell>
          <cell r="CJ12">
            <v>1</v>
          </cell>
          <cell r="CK12">
            <v>0</v>
          </cell>
          <cell r="CL12">
            <v>0</v>
          </cell>
          <cell r="CM12">
            <v>17</v>
          </cell>
          <cell r="CN12">
            <v>66.2</v>
          </cell>
          <cell r="CO12">
            <v>0</v>
          </cell>
          <cell r="CP12">
            <v>66.2</v>
          </cell>
          <cell r="CQ12">
            <v>66.199951171875</v>
          </cell>
          <cell r="CR12">
            <v>66.199951171875</v>
          </cell>
          <cell r="CS12">
            <v>0</v>
          </cell>
          <cell r="CT12">
            <v>8</v>
          </cell>
          <cell r="CU12">
            <v>0</v>
          </cell>
          <cell r="CV12">
            <v>0</v>
          </cell>
          <cell r="CW12">
            <v>0</v>
          </cell>
          <cell r="CX12">
            <v>1</v>
          </cell>
          <cell r="CY12">
            <v>1</v>
          </cell>
          <cell r="CZ12">
            <v>2544</v>
          </cell>
          <cell r="DA12" t="str">
            <v>Демский</v>
          </cell>
          <cell r="DB12" t="str">
            <v>2.Деревянные</v>
          </cell>
          <cell r="DC12">
            <v>2544</v>
          </cell>
          <cell r="DD12">
            <v>2544</v>
          </cell>
          <cell r="DE12">
            <v>2544</v>
          </cell>
          <cell r="DF12">
            <v>2544</v>
          </cell>
          <cell r="DG12">
            <v>2544</v>
          </cell>
          <cell r="DH12">
            <v>2544</v>
          </cell>
          <cell r="DI12">
            <v>2544</v>
          </cell>
          <cell r="DJ12">
            <v>2544</v>
          </cell>
          <cell r="DK12">
            <v>0</v>
          </cell>
          <cell r="DL12">
            <v>0</v>
          </cell>
          <cell r="DM12">
            <v>938463</v>
          </cell>
          <cell r="DN12">
            <v>0</v>
          </cell>
          <cell r="DO12">
            <v>0</v>
          </cell>
          <cell r="DP12" t="str">
            <v>УЖХ</v>
          </cell>
          <cell r="DQ12">
            <v>35492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 t="str">
            <v>3.Зависимая схема</v>
          </cell>
          <cell r="EE12" t="str">
            <v>Верхний</v>
          </cell>
          <cell r="EF12">
            <v>0</v>
          </cell>
          <cell r="EG12">
            <v>0</v>
          </cell>
          <cell r="EH12">
            <v>0</v>
          </cell>
          <cell r="EI12">
            <v>1342.03</v>
          </cell>
          <cell r="EJ12">
            <v>0</v>
          </cell>
          <cell r="EK12">
            <v>110.2</v>
          </cell>
          <cell r="EL12">
            <v>110.199951171875</v>
          </cell>
          <cell r="EM12">
            <v>129.9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156.33000000000001</v>
          </cell>
          <cell r="FB12">
            <v>1</v>
          </cell>
          <cell r="FC12">
            <v>1</v>
          </cell>
          <cell r="FD12">
            <v>0</v>
          </cell>
          <cell r="FE12">
            <v>0</v>
          </cell>
          <cell r="FF12">
            <v>23.4</v>
          </cell>
          <cell r="FG12">
            <v>23.399993896484375</v>
          </cell>
          <cell r="FH12" t="str">
            <v>С УЛК (ЖЭУ)</v>
          </cell>
          <cell r="FI12">
            <v>43647</v>
          </cell>
          <cell r="FJ12">
            <v>15477</v>
          </cell>
          <cell r="FK12">
            <v>15477</v>
          </cell>
          <cell r="FL12">
            <v>564.70000000000005</v>
          </cell>
          <cell r="FM12">
            <v>78.92</v>
          </cell>
          <cell r="FN12">
            <v>847.44</v>
          </cell>
          <cell r="FO12">
            <v>2542.3200000000002</v>
          </cell>
        </row>
        <row r="13">
          <cell r="AI13" t="str">
            <v>Ул. Рядовая дом 12</v>
          </cell>
          <cell r="AJ13">
            <v>2542.318359375</v>
          </cell>
          <cell r="AK13">
            <v>503.3</v>
          </cell>
          <cell r="AL13">
            <v>324.7</v>
          </cell>
          <cell r="AM13">
            <v>2</v>
          </cell>
          <cell r="AN13">
            <v>2</v>
          </cell>
          <cell r="AO13" t="str">
            <v>АО УЖХ Демского района</v>
          </cell>
          <cell r="AP13">
            <v>466.85</v>
          </cell>
          <cell r="AQ13">
            <v>35.35</v>
          </cell>
          <cell r="AR13">
            <v>60.4</v>
          </cell>
          <cell r="AS13">
            <v>0</v>
          </cell>
          <cell r="AT13">
            <v>8</v>
          </cell>
          <cell r="AU13">
            <v>2</v>
          </cell>
          <cell r="AV13">
            <v>26</v>
          </cell>
          <cell r="AW13">
            <v>0</v>
          </cell>
          <cell r="AX13">
            <v>0</v>
          </cell>
          <cell r="AY13">
            <v>0</v>
          </cell>
          <cell r="AZ13">
            <v>417.5</v>
          </cell>
          <cell r="BA13">
            <v>1426.1</v>
          </cell>
          <cell r="BB13">
            <v>1426.099609375</v>
          </cell>
          <cell r="BC13" t="str">
            <v>Непосредственное</v>
          </cell>
          <cell r="BD13" t="str">
            <v>1. Жилой дом</v>
          </cell>
          <cell r="BE13">
            <v>67.8</v>
          </cell>
          <cell r="BF13" t="str">
            <v>1.Оцинкованный</v>
          </cell>
          <cell r="BG13">
            <v>67.79998779296875</v>
          </cell>
          <cell r="BH13" t="str">
            <v>3.Водяной</v>
          </cell>
          <cell r="BI13" t="str">
            <v>МУП УИС</v>
          </cell>
          <cell r="BJ13" t="str">
            <v>1. Чугун</v>
          </cell>
          <cell r="BK13">
            <v>67.79998779296875</v>
          </cell>
          <cell r="BL13" t="str">
            <v>2.Кирпич</v>
          </cell>
          <cell r="BM13">
            <v>14246</v>
          </cell>
          <cell r="BN13">
            <v>14246</v>
          </cell>
          <cell r="BO13" t="str">
            <v>Не оборудован</v>
          </cell>
          <cell r="BP13" t="str">
            <v>8.Профнастил</v>
          </cell>
          <cell r="BQ13" t="str">
            <v>1.Скатная</v>
          </cell>
          <cell r="BR13">
            <v>482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 t="str">
            <v>3.Частный жилищный фонд</v>
          </cell>
          <cell r="BX13">
            <v>8</v>
          </cell>
          <cell r="BY13">
            <v>0</v>
          </cell>
          <cell r="BZ13" t="str">
            <v>2-я</v>
          </cell>
          <cell r="CA13">
            <v>1</v>
          </cell>
          <cell r="CB13">
            <v>27.01</v>
          </cell>
          <cell r="CC13">
            <v>1</v>
          </cell>
          <cell r="CD13">
            <v>1</v>
          </cell>
          <cell r="CE13">
            <v>1</v>
          </cell>
          <cell r="CF13" t="str">
            <v>ООО "Гранд"</v>
          </cell>
          <cell r="CG13">
            <v>7</v>
          </cell>
          <cell r="CH13">
            <v>1</v>
          </cell>
          <cell r="CI13">
            <v>1</v>
          </cell>
          <cell r="CJ13">
            <v>1</v>
          </cell>
          <cell r="CK13">
            <v>0</v>
          </cell>
          <cell r="CL13">
            <v>0</v>
          </cell>
          <cell r="CM13">
            <v>14</v>
          </cell>
          <cell r="CN13">
            <v>60.4</v>
          </cell>
          <cell r="CO13">
            <v>0</v>
          </cell>
          <cell r="CP13">
            <v>60.4</v>
          </cell>
          <cell r="CQ13">
            <v>60.399993896484375</v>
          </cell>
          <cell r="CR13">
            <v>60.399993896484375</v>
          </cell>
          <cell r="CS13">
            <v>0</v>
          </cell>
          <cell r="CT13">
            <v>8</v>
          </cell>
          <cell r="CU13">
            <v>0</v>
          </cell>
          <cell r="CV13">
            <v>0</v>
          </cell>
          <cell r="CW13">
            <v>0</v>
          </cell>
          <cell r="CX13">
            <v>1</v>
          </cell>
          <cell r="CY13">
            <v>1</v>
          </cell>
          <cell r="CZ13">
            <v>3001</v>
          </cell>
          <cell r="DA13" t="str">
            <v>Демский</v>
          </cell>
          <cell r="DB13" t="str">
            <v>2.Деревянные</v>
          </cell>
          <cell r="DC13">
            <v>3001</v>
          </cell>
          <cell r="DD13">
            <v>3001</v>
          </cell>
          <cell r="DE13">
            <v>3001</v>
          </cell>
          <cell r="DF13">
            <v>3001</v>
          </cell>
          <cell r="DG13">
            <v>3001</v>
          </cell>
          <cell r="DH13">
            <v>3001</v>
          </cell>
          <cell r="DI13">
            <v>3001</v>
          </cell>
          <cell r="DJ13">
            <v>3001</v>
          </cell>
          <cell r="DK13">
            <v>0</v>
          </cell>
          <cell r="DL13">
            <v>0</v>
          </cell>
          <cell r="DM13">
            <v>1107048</v>
          </cell>
          <cell r="DN13">
            <v>0</v>
          </cell>
          <cell r="DO13">
            <v>0</v>
          </cell>
          <cell r="DP13" t="str">
            <v>УЖХ</v>
          </cell>
          <cell r="DQ13">
            <v>35754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 t="str">
            <v>3.Зависимая схема</v>
          </cell>
          <cell r="EE13" t="str">
            <v>Верхний</v>
          </cell>
          <cell r="EF13">
            <v>0</v>
          </cell>
          <cell r="EG13">
            <v>0</v>
          </cell>
          <cell r="EH13">
            <v>110</v>
          </cell>
          <cell r="EI13">
            <v>1316.1</v>
          </cell>
          <cell r="EJ13">
            <v>24</v>
          </cell>
          <cell r="EK13">
            <v>246.4</v>
          </cell>
          <cell r="EL13">
            <v>0</v>
          </cell>
          <cell r="EM13">
            <v>106.8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40.299999999999997</v>
          </cell>
          <cell r="FB13">
            <v>1</v>
          </cell>
          <cell r="FC13">
            <v>1</v>
          </cell>
          <cell r="FD13">
            <v>0</v>
          </cell>
          <cell r="FE13">
            <v>0</v>
          </cell>
          <cell r="FF13">
            <v>17.649999999999999</v>
          </cell>
          <cell r="FG13">
            <v>17.649993896484375</v>
          </cell>
          <cell r="FH13" t="str">
            <v>С УЛК (ЖЭУ)</v>
          </cell>
          <cell r="FI13">
            <v>43647</v>
          </cell>
          <cell r="FJ13">
            <v>15477</v>
          </cell>
          <cell r="FK13">
            <v>15477</v>
          </cell>
          <cell r="FL13">
            <v>563.70000000000005</v>
          </cell>
          <cell r="FM13">
            <v>78.92</v>
          </cell>
          <cell r="FN13">
            <v>847.44</v>
          </cell>
          <cell r="FO13">
            <v>2542.3200000000002</v>
          </cell>
        </row>
        <row r="14">
          <cell r="AI14" t="str">
            <v>Ул. Рядовая дом 13</v>
          </cell>
          <cell r="AJ14">
            <v>2542.318359375</v>
          </cell>
          <cell r="AK14">
            <v>488.2</v>
          </cell>
          <cell r="AL14">
            <v>316.60000000000002</v>
          </cell>
          <cell r="AM14">
            <v>2</v>
          </cell>
          <cell r="AN14">
            <v>2</v>
          </cell>
          <cell r="AO14" t="str">
            <v>АО УЖХ Демского района</v>
          </cell>
          <cell r="AP14">
            <v>433.9</v>
          </cell>
          <cell r="AQ14">
            <v>54.3</v>
          </cell>
          <cell r="AR14">
            <v>66.7</v>
          </cell>
          <cell r="AS14">
            <v>0</v>
          </cell>
          <cell r="AT14">
            <v>8</v>
          </cell>
          <cell r="AU14">
            <v>2</v>
          </cell>
          <cell r="AV14">
            <v>22</v>
          </cell>
          <cell r="AW14">
            <v>0</v>
          </cell>
          <cell r="AX14">
            <v>0</v>
          </cell>
          <cell r="AY14">
            <v>0</v>
          </cell>
          <cell r="AZ14">
            <v>359</v>
          </cell>
          <cell r="BA14">
            <v>946.5</v>
          </cell>
          <cell r="BB14">
            <v>946.5</v>
          </cell>
          <cell r="BC14" t="str">
            <v>Непосредственное</v>
          </cell>
          <cell r="BD14" t="str">
            <v>1. Жилой дом</v>
          </cell>
          <cell r="BE14">
            <v>70.2</v>
          </cell>
          <cell r="BF14" t="str">
            <v>1.Оцинкованный</v>
          </cell>
          <cell r="BG14">
            <v>70.199951171875</v>
          </cell>
          <cell r="BH14" t="str">
            <v>3.Водяной</v>
          </cell>
          <cell r="BI14" t="str">
            <v>МУП УИС</v>
          </cell>
          <cell r="BJ14" t="str">
            <v>1. Чугун</v>
          </cell>
          <cell r="BK14">
            <v>70.199951171875</v>
          </cell>
          <cell r="BL14" t="str">
            <v>2.Кирпич</v>
          </cell>
          <cell r="BM14">
            <v>13150</v>
          </cell>
          <cell r="BN14">
            <v>13150</v>
          </cell>
          <cell r="BO14" t="str">
            <v>Не оборудован</v>
          </cell>
          <cell r="BP14" t="str">
            <v>2.Лист железный</v>
          </cell>
          <cell r="BQ14" t="str">
            <v>1.Скатная</v>
          </cell>
          <cell r="BR14">
            <v>401.6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 t="str">
            <v>3.Частный жилищный фонд</v>
          </cell>
          <cell r="BX14">
            <v>8</v>
          </cell>
          <cell r="BY14">
            <v>0</v>
          </cell>
          <cell r="BZ14" t="str">
            <v>2-я</v>
          </cell>
          <cell r="CA14">
            <v>1</v>
          </cell>
          <cell r="CB14">
            <v>27.01</v>
          </cell>
          <cell r="CC14">
            <v>1</v>
          </cell>
          <cell r="CD14">
            <v>1</v>
          </cell>
          <cell r="CE14">
            <v>1</v>
          </cell>
          <cell r="CF14" t="str">
            <v>ООО "Гранд"</v>
          </cell>
          <cell r="CG14">
            <v>7</v>
          </cell>
          <cell r="CH14">
            <v>1</v>
          </cell>
          <cell r="CI14">
            <v>1</v>
          </cell>
          <cell r="CJ14">
            <v>1</v>
          </cell>
          <cell r="CK14">
            <v>0</v>
          </cell>
          <cell r="CL14">
            <v>0</v>
          </cell>
          <cell r="CM14">
            <v>10</v>
          </cell>
          <cell r="CN14">
            <v>66.7</v>
          </cell>
          <cell r="CO14">
            <v>0</v>
          </cell>
          <cell r="CP14">
            <v>66.7</v>
          </cell>
          <cell r="CQ14">
            <v>66.699951171875</v>
          </cell>
          <cell r="CR14">
            <v>66.699951171875</v>
          </cell>
          <cell r="CS14">
            <v>0</v>
          </cell>
          <cell r="CT14">
            <v>8</v>
          </cell>
          <cell r="CU14">
            <v>0</v>
          </cell>
          <cell r="CV14">
            <v>0</v>
          </cell>
          <cell r="CW14">
            <v>0</v>
          </cell>
          <cell r="CX14">
            <v>1</v>
          </cell>
          <cell r="CY14">
            <v>1</v>
          </cell>
          <cell r="CZ14">
            <v>2466</v>
          </cell>
          <cell r="DA14" t="str">
            <v>Демский</v>
          </cell>
          <cell r="DB14" t="str">
            <v>2.Деревянные</v>
          </cell>
          <cell r="DC14">
            <v>2466</v>
          </cell>
          <cell r="DD14">
            <v>2466</v>
          </cell>
          <cell r="DE14">
            <v>2466</v>
          </cell>
          <cell r="DF14">
            <v>2466</v>
          </cell>
          <cell r="DG14">
            <v>2466</v>
          </cell>
          <cell r="DH14">
            <v>2466</v>
          </cell>
          <cell r="DI14">
            <v>2466</v>
          </cell>
          <cell r="DJ14">
            <v>2466</v>
          </cell>
          <cell r="DK14">
            <v>0</v>
          </cell>
          <cell r="DL14">
            <v>0</v>
          </cell>
          <cell r="DM14">
            <v>909690</v>
          </cell>
          <cell r="DN14">
            <v>0</v>
          </cell>
          <cell r="DO14">
            <v>0</v>
          </cell>
          <cell r="DP14" t="str">
            <v>УЖХ</v>
          </cell>
          <cell r="DQ14">
            <v>35492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 t="str">
            <v>3.Зависимая схема</v>
          </cell>
          <cell r="EE14" t="str">
            <v>Верхний</v>
          </cell>
          <cell r="EF14">
            <v>0</v>
          </cell>
          <cell r="EG14">
            <v>0</v>
          </cell>
          <cell r="EH14">
            <v>0</v>
          </cell>
          <cell r="EI14">
            <v>946.5</v>
          </cell>
          <cell r="EJ14">
            <v>41.2</v>
          </cell>
          <cell r="EK14">
            <v>159.9</v>
          </cell>
          <cell r="EL14">
            <v>159.89990234375</v>
          </cell>
          <cell r="EM14">
            <v>98.7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59.2</v>
          </cell>
          <cell r="FB14">
            <v>1</v>
          </cell>
          <cell r="FC14">
            <v>1</v>
          </cell>
          <cell r="FD14">
            <v>0</v>
          </cell>
          <cell r="FE14">
            <v>0</v>
          </cell>
          <cell r="FF14">
            <v>22.48</v>
          </cell>
          <cell r="FG14">
            <v>22.479995727539063</v>
          </cell>
          <cell r="FH14" t="str">
            <v>С УЛК (ЖЭУ)</v>
          </cell>
          <cell r="FI14">
            <v>43647</v>
          </cell>
          <cell r="FJ14">
            <v>15477</v>
          </cell>
          <cell r="FK14">
            <v>15477</v>
          </cell>
          <cell r="FL14">
            <v>554.9</v>
          </cell>
          <cell r="FM14">
            <v>78.92</v>
          </cell>
          <cell r="FN14">
            <v>847.44</v>
          </cell>
          <cell r="FO14">
            <v>2542.3200000000002</v>
          </cell>
        </row>
        <row r="15">
          <cell r="AI15" t="str">
            <v>Ул. Рядовая дом 7/1</v>
          </cell>
          <cell r="AJ15">
            <v>2542.318359375</v>
          </cell>
          <cell r="AK15">
            <v>672</v>
          </cell>
          <cell r="AL15">
            <v>387.9</v>
          </cell>
          <cell r="AM15">
            <v>1</v>
          </cell>
          <cell r="AN15">
            <v>1</v>
          </cell>
          <cell r="AO15" t="str">
            <v>АО УЖХ Демского района</v>
          </cell>
          <cell r="AP15">
            <v>669.4</v>
          </cell>
          <cell r="AQ15">
            <v>0</v>
          </cell>
          <cell r="AR15">
            <v>71.400000000000006</v>
          </cell>
          <cell r="AS15">
            <v>5.4</v>
          </cell>
          <cell r="AT15">
            <v>14</v>
          </cell>
          <cell r="AU15">
            <v>5</v>
          </cell>
          <cell r="AV15">
            <v>35</v>
          </cell>
          <cell r="AW15">
            <v>0</v>
          </cell>
          <cell r="AX15">
            <v>0</v>
          </cell>
          <cell r="AY15">
            <v>0</v>
          </cell>
          <cell r="AZ15">
            <v>549.29999999999995</v>
          </cell>
          <cell r="BA15">
            <v>2840.1</v>
          </cell>
          <cell r="BB15">
            <v>2840.099609375</v>
          </cell>
          <cell r="BC15" t="str">
            <v>Непосредственное</v>
          </cell>
          <cell r="BD15" t="str">
            <v>1. Жилой дом</v>
          </cell>
          <cell r="BE15">
            <v>34.200000000000003</v>
          </cell>
          <cell r="BF15" t="str">
            <v>2.Чёрный</v>
          </cell>
          <cell r="BG15">
            <v>34.199981689453125</v>
          </cell>
          <cell r="BH15" t="str">
            <v>3.Водяной</v>
          </cell>
          <cell r="BI15" t="str">
            <v>МУП УИС</v>
          </cell>
          <cell r="BJ15" t="str">
            <v>1. Чугун</v>
          </cell>
          <cell r="BK15">
            <v>34.199981689453125</v>
          </cell>
          <cell r="BL15" t="str">
            <v>2.Кирпич</v>
          </cell>
          <cell r="BM15">
            <v>29587</v>
          </cell>
          <cell r="BN15">
            <v>14</v>
          </cell>
          <cell r="BO15" t="str">
            <v>Оборудован</v>
          </cell>
          <cell r="BP15" t="str">
            <v>4.Мягк/рулонная</v>
          </cell>
          <cell r="BQ15" t="str">
            <v>2.Плоская</v>
          </cell>
          <cell r="BR15">
            <v>249</v>
          </cell>
          <cell r="BS15">
            <v>226</v>
          </cell>
          <cell r="BT15">
            <v>226</v>
          </cell>
          <cell r="BU15">
            <v>226</v>
          </cell>
          <cell r="BV15">
            <v>0</v>
          </cell>
          <cell r="BW15" t="str">
            <v>3.Частный жилищный фонд</v>
          </cell>
          <cell r="BX15">
            <v>14</v>
          </cell>
          <cell r="BY15">
            <v>0</v>
          </cell>
          <cell r="BZ15" t="str">
            <v>2-я</v>
          </cell>
          <cell r="CA15">
            <v>1</v>
          </cell>
          <cell r="CB15">
            <v>27.01</v>
          </cell>
          <cell r="CC15">
            <v>1</v>
          </cell>
          <cell r="CD15">
            <v>1</v>
          </cell>
          <cell r="CE15">
            <v>1</v>
          </cell>
          <cell r="CF15" t="str">
            <v>ООО "Гранд"</v>
          </cell>
          <cell r="CG15">
            <v>14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1</v>
          </cell>
          <cell r="CM15">
            <v>14</v>
          </cell>
          <cell r="CN15">
            <v>76.8</v>
          </cell>
          <cell r="CO15">
            <v>0</v>
          </cell>
          <cell r="CP15">
            <v>302.8</v>
          </cell>
          <cell r="CQ15">
            <v>302.7998046875</v>
          </cell>
          <cell r="CR15">
            <v>302.7998046875</v>
          </cell>
          <cell r="CS15">
            <v>2</v>
          </cell>
          <cell r="CT15">
            <v>14</v>
          </cell>
          <cell r="CU15">
            <v>0</v>
          </cell>
          <cell r="CV15">
            <v>0</v>
          </cell>
          <cell r="CW15">
            <v>0</v>
          </cell>
          <cell r="CX15">
            <v>1</v>
          </cell>
          <cell r="CY15">
            <v>1</v>
          </cell>
          <cell r="CZ15">
            <v>3221</v>
          </cell>
          <cell r="DA15" t="str">
            <v>Демский</v>
          </cell>
          <cell r="DB15" t="str">
            <v>3.Сборные ж/б панели</v>
          </cell>
          <cell r="DC15">
            <v>3221</v>
          </cell>
          <cell r="DD15">
            <v>3221</v>
          </cell>
          <cell r="DE15">
            <v>3221</v>
          </cell>
          <cell r="DF15">
            <v>3221</v>
          </cell>
          <cell r="DG15">
            <v>3221</v>
          </cell>
          <cell r="DH15">
            <v>3221</v>
          </cell>
          <cell r="DI15">
            <v>3221</v>
          </cell>
          <cell r="DJ15">
            <v>3221</v>
          </cell>
          <cell r="DK15">
            <v>0</v>
          </cell>
          <cell r="DL15">
            <v>0</v>
          </cell>
          <cell r="DM15">
            <v>1614513</v>
          </cell>
          <cell r="DN15">
            <v>1</v>
          </cell>
          <cell r="DO15">
            <v>1</v>
          </cell>
          <cell r="DP15" t="str">
            <v>УЖХ</v>
          </cell>
          <cell r="DQ15">
            <v>35789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 t="str">
            <v>3.Зависимая схема</v>
          </cell>
          <cell r="EE15" t="str">
            <v>Верхний</v>
          </cell>
          <cell r="EF15">
            <v>0</v>
          </cell>
          <cell r="EG15">
            <v>0</v>
          </cell>
          <cell r="EH15">
            <v>0</v>
          </cell>
          <cell r="EI15">
            <v>2840.1</v>
          </cell>
          <cell r="EJ15">
            <v>86.5</v>
          </cell>
          <cell r="EK15">
            <v>393</v>
          </cell>
          <cell r="EL15">
            <v>393</v>
          </cell>
          <cell r="EM15">
            <v>69.8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21.54</v>
          </cell>
          <cell r="FG15">
            <v>2</v>
          </cell>
          <cell r="FH15" t="str">
            <v>С УЛК (клининг)</v>
          </cell>
          <cell r="FI15">
            <v>43647</v>
          </cell>
          <cell r="FJ15">
            <v>15477</v>
          </cell>
          <cell r="FK15">
            <v>15477</v>
          </cell>
          <cell r="FL15">
            <v>974.8</v>
          </cell>
          <cell r="FM15">
            <v>78.92</v>
          </cell>
          <cell r="FN15">
            <v>1483.0200000000002</v>
          </cell>
          <cell r="FO15">
            <v>4449.0600000000004</v>
          </cell>
        </row>
        <row r="16">
          <cell r="AI16" t="str">
            <v>Ул. Рядовая дом 9</v>
          </cell>
          <cell r="AJ16">
            <v>4449.05859375</v>
          </cell>
          <cell r="AK16">
            <v>492.3</v>
          </cell>
          <cell r="AL16">
            <v>319.2</v>
          </cell>
          <cell r="AM16">
            <v>2</v>
          </cell>
          <cell r="AN16">
            <v>2</v>
          </cell>
          <cell r="AO16" t="str">
            <v>АО УЖХ Демского района</v>
          </cell>
          <cell r="AP16">
            <v>491.7</v>
          </cell>
          <cell r="AQ16">
            <v>0</v>
          </cell>
          <cell r="AR16">
            <v>64</v>
          </cell>
          <cell r="AS16">
            <v>0</v>
          </cell>
          <cell r="AT16">
            <v>8</v>
          </cell>
          <cell r="AU16">
            <v>2</v>
          </cell>
          <cell r="AV16">
            <v>27</v>
          </cell>
          <cell r="AW16">
            <v>0</v>
          </cell>
          <cell r="AX16">
            <v>0</v>
          </cell>
          <cell r="AY16">
            <v>0</v>
          </cell>
          <cell r="AZ16">
            <v>302.7</v>
          </cell>
          <cell r="BA16">
            <v>1153.5999999999999</v>
          </cell>
          <cell r="BB16">
            <v>1153.599609375</v>
          </cell>
          <cell r="BC16" t="str">
            <v>Непосредственное</v>
          </cell>
          <cell r="BD16" t="str">
            <v>1. Жилой дом</v>
          </cell>
          <cell r="BE16">
            <v>70.2</v>
          </cell>
          <cell r="BF16" t="str">
            <v>2.Чёрный</v>
          </cell>
          <cell r="BG16">
            <v>70.199951171875</v>
          </cell>
          <cell r="BH16" t="str">
            <v>3.Водяной</v>
          </cell>
          <cell r="BI16" t="str">
            <v>МУП УИС</v>
          </cell>
          <cell r="BJ16" t="str">
            <v>1. Чугун</v>
          </cell>
          <cell r="BK16">
            <v>70.199951171875</v>
          </cell>
          <cell r="BL16" t="str">
            <v>2.Кирпич</v>
          </cell>
          <cell r="BM16">
            <v>13150</v>
          </cell>
          <cell r="BN16">
            <v>13150</v>
          </cell>
          <cell r="BO16" t="str">
            <v>Не оборудован</v>
          </cell>
          <cell r="BP16" t="str">
            <v>2.Лист железный</v>
          </cell>
          <cell r="BQ16" t="str">
            <v>1.Скатная</v>
          </cell>
          <cell r="BR16">
            <v>399.9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 t="str">
            <v>3.Частный жилищный фонд</v>
          </cell>
          <cell r="BX16">
            <v>8</v>
          </cell>
          <cell r="BY16">
            <v>0</v>
          </cell>
          <cell r="BZ16" t="str">
            <v>2-я</v>
          </cell>
          <cell r="CA16">
            <v>1</v>
          </cell>
          <cell r="CB16">
            <v>27.01</v>
          </cell>
          <cell r="CC16">
            <v>1</v>
          </cell>
          <cell r="CD16">
            <v>1</v>
          </cell>
          <cell r="CE16">
            <v>1</v>
          </cell>
          <cell r="CF16" t="str">
            <v>ООО "Гранд"</v>
          </cell>
          <cell r="CG16">
            <v>8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</v>
          </cell>
          <cell r="CM16">
            <v>10</v>
          </cell>
          <cell r="CN16">
            <v>64</v>
          </cell>
          <cell r="CO16">
            <v>0</v>
          </cell>
          <cell r="CP16">
            <v>64</v>
          </cell>
          <cell r="CQ16">
            <v>64</v>
          </cell>
          <cell r="CR16">
            <v>64</v>
          </cell>
          <cell r="CS16">
            <v>0</v>
          </cell>
          <cell r="CT16">
            <v>8</v>
          </cell>
          <cell r="CU16">
            <v>0</v>
          </cell>
          <cell r="CV16">
            <v>0</v>
          </cell>
          <cell r="CW16">
            <v>0</v>
          </cell>
          <cell r="CX16">
            <v>1</v>
          </cell>
          <cell r="CY16">
            <v>1</v>
          </cell>
          <cell r="CZ16">
            <v>2450</v>
          </cell>
          <cell r="DA16" t="str">
            <v>Демский</v>
          </cell>
          <cell r="DB16" t="str">
            <v>2.Деревянные</v>
          </cell>
          <cell r="DC16">
            <v>2450</v>
          </cell>
          <cell r="DD16">
            <v>2450</v>
          </cell>
          <cell r="DE16">
            <v>2450</v>
          </cell>
          <cell r="DF16">
            <v>2450</v>
          </cell>
          <cell r="DG16">
            <v>2450</v>
          </cell>
          <cell r="DH16">
            <v>2450</v>
          </cell>
          <cell r="DI16">
            <v>2450</v>
          </cell>
          <cell r="DJ16">
            <v>2450</v>
          </cell>
          <cell r="DK16">
            <v>0</v>
          </cell>
          <cell r="DL16">
            <v>0</v>
          </cell>
          <cell r="DM16">
            <v>903788</v>
          </cell>
          <cell r="DN16">
            <v>0</v>
          </cell>
          <cell r="DO16">
            <v>0</v>
          </cell>
          <cell r="DP16" t="str">
            <v>УЖХ</v>
          </cell>
          <cell r="DQ16">
            <v>35492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 t="str">
            <v>3.Зависимая схема</v>
          </cell>
          <cell r="EE16" t="str">
            <v>Верхний</v>
          </cell>
          <cell r="EF16">
            <v>0</v>
          </cell>
          <cell r="EG16">
            <v>0</v>
          </cell>
          <cell r="EH16">
            <v>0</v>
          </cell>
          <cell r="EI16">
            <v>1153.5999999999999</v>
          </cell>
          <cell r="EJ16">
            <v>10</v>
          </cell>
          <cell r="EK16">
            <v>164.1</v>
          </cell>
          <cell r="EL16">
            <v>164.0999755859375</v>
          </cell>
          <cell r="EM16">
            <v>70.599999999999994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58</v>
          </cell>
          <cell r="FB16">
            <v>1</v>
          </cell>
          <cell r="FC16">
            <v>1</v>
          </cell>
          <cell r="FD16">
            <v>0</v>
          </cell>
          <cell r="FE16">
            <v>0</v>
          </cell>
          <cell r="FF16">
            <v>17.78</v>
          </cell>
          <cell r="FG16">
            <v>17.779998779296875</v>
          </cell>
          <cell r="FH16" t="str">
            <v>С УЛК (ЖЭУ)</v>
          </cell>
          <cell r="FI16">
            <v>43647</v>
          </cell>
          <cell r="FJ16">
            <v>15477</v>
          </cell>
          <cell r="FK16">
            <v>15477</v>
          </cell>
          <cell r="FL16">
            <v>556.29999999999995</v>
          </cell>
          <cell r="FM16">
            <v>78.92</v>
          </cell>
          <cell r="FN16">
            <v>847.44</v>
          </cell>
          <cell r="FO16">
            <v>2542.3200000000002</v>
          </cell>
        </row>
        <row r="17">
          <cell r="AI17" t="str">
            <v>Ул. Рядовая дом 10</v>
          </cell>
          <cell r="AJ17">
            <v>2542.318359375</v>
          </cell>
          <cell r="AK17">
            <v>491.4</v>
          </cell>
          <cell r="AL17">
            <v>315.7</v>
          </cell>
          <cell r="AM17">
            <v>2</v>
          </cell>
          <cell r="AN17">
            <v>2</v>
          </cell>
          <cell r="AO17" t="str">
            <v>АО УЖХ Демского района</v>
          </cell>
          <cell r="AP17">
            <v>228.91</v>
          </cell>
          <cell r="AQ17">
            <v>263.19</v>
          </cell>
          <cell r="AR17">
            <v>62</v>
          </cell>
          <cell r="AS17">
            <v>0</v>
          </cell>
          <cell r="AT17">
            <v>8</v>
          </cell>
          <cell r="AU17">
            <v>2</v>
          </cell>
          <cell r="AV17">
            <v>33</v>
          </cell>
          <cell r="AW17">
            <v>0</v>
          </cell>
          <cell r="AX17">
            <v>0</v>
          </cell>
          <cell r="AY17">
            <v>0</v>
          </cell>
          <cell r="AZ17">
            <v>374.3</v>
          </cell>
          <cell r="BA17">
            <v>2560.5</v>
          </cell>
          <cell r="BB17">
            <v>2560.5</v>
          </cell>
          <cell r="BC17" t="str">
            <v>Непосредственное</v>
          </cell>
          <cell r="BD17" t="str">
            <v>1. Жилой дом</v>
          </cell>
          <cell r="BE17">
            <v>87.75</v>
          </cell>
          <cell r="BF17" t="str">
            <v>1.Оцинкованный</v>
          </cell>
          <cell r="BG17">
            <v>87.75</v>
          </cell>
          <cell r="BH17" t="str">
            <v>3.Водяной</v>
          </cell>
          <cell r="BI17" t="str">
            <v>МУП УИС</v>
          </cell>
          <cell r="BJ17" t="str">
            <v>1. Чугун</v>
          </cell>
          <cell r="BK17">
            <v>87.75</v>
          </cell>
          <cell r="BL17" t="str">
            <v>2.Кирпич</v>
          </cell>
          <cell r="BM17">
            <v>13150</v>
          </cell>
          <cell r="BN17">
            <v>13150</v>
          </cell>
          <cell r="BO17" t="str">
            <v>Не оборудован</v>
          </cell>
          <cell r="BP17" t="str">
            <v>8.Профнастил</v>
          </cell>
          <cell r="BQ17" t="str">
            <v>1.Скатная</v>
          </cell>
          <cell r="BR17">
            <v>413.2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 t="str">
            <v>3.Частный жилищный фонд</v>
          </cell>
          <cell r="BX17">
            <v>8</v>
          </cell>
          <cell r="BY17">
            <v>0</v>
          </cell>
          <cell r="BZ17" t="str">
            <v>3-я</v>
          </cell>
          <cell r="CA17">
            <v>1</v>
          </cell>
          <cell r="CB17">
            <v>27.01</v>
          </cell>
          <cell r="CC17">
            <v>1</v>
          </cell>
          <cell r="CD17">
            <v>1</v>
          </cell>
          <cell r="CE17">
            <v>1</v>
          </cell>
          <cell r="CF17" t="str">
            <v>ООО "Гранд"</v>
          </cell>
          <cell r="CG17">
            <v>3</v>
          </cell>
          <cell r="CH17">
            <v>5</v>
          </cell>
          <cell r="CI17">
            <v>5</v>
          </cell>
          <cell r="CJ17">
            <v>5</v>
          </cell>
          <cell r="CK17">
            <v>0</v>
          </cell>
          <cell r="CL17">
            <v>0</v>
          </cell>
          <cell r="CM17">
            <v>10</v>
          </cell>
          <cell r="CN17">
            <v>62</v>
          </cell>
          <cell r="CO17">
            <v>0</v>
          </cell>
          <cell r="CP17">
            <v>62</v>
          </cell>
          <cell r="CQ17">
            <v>62</v>
          </cell>
          <cell r="CR17">
            <v>62</v>
          </cell>
          <cell r="CS17">
            <v>1</v>
          </cell>
          <cell r="CT17">
            <v>8</v>
          </cell>
          <cell r="CU17">
            <v>0</v>
          </cell>
          <cell r="CV17">
            <v>0</v>
          </cell>
          <cell r="CW17">
            <v>0</v>
          </cell>
          <cell r="CX17">
            <v>1</v>
          </cell>
          <cell r="CY17">
            <v>1</v>
          </cell>
          <cell r="CZ17">
            <v>2535</v>
          </cell>
          <cell r="DA17" t="str">
            <v>Демский</v>
          </cell>
          <cell r="DB17" t="str">
            <v>2.Деревянные</v>
          </cell>
          <cell r="DC17">
            <v>2535</v>
          </cell>
          <cell r="DD17">
            <v>2535</v>
          </cell>
          <cell r="DE17">
            <v>2535</v>
          </cell>
          <cell r="DF17">
            <v>2535</v>
          </cell>
          <cell r="DG17">
            <v>2535</v>
          </cell>
          <cell r="DH17">
            <v>2535</v>
          </cell>
          <cell r="DI17">
            <v>2535</v>
          </cell>
          <cell r="DJ17">
            <v>2535</v>
          </cell>
          <cell r="DK17">
            <v>0</v>
          </cell>
          <cell r="DL17">
            <v>0</v>
          </cell>
          <cell r="DM17">
            <v>935143</v>
          </cell>
          <cell r="DN17">
            <v>0</v>
          </cell>
          <cell r="DO17">
            <v>0</v>
          </cell>
          <cell r="DP17" t="str">
            <v>УЖХ</v>
          </cell>
          <cell r="DQ17">
            <v>38782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 t="str">
            <v>3.Зависимая схема</v>
          </cell>
          <cell r="EE17" t="str">
            <v>Верхний</v>
          </cell>
          <cell r="EF17">
            <v>0</v>
          </cell>
          <cell r="EG17">
            <v>0</v>
          </cell>
          <cell r="EH17">
            <v>0</v>
          </cell>
          <cell r="EI17">
            <v>2380.5</v>
          </cell>
          <cell r="EJ17">
            <v>12</v>
          </cell>
          <cell r="EK17">
            <v>229</v>
          </cell>
          <cell r="EL17">
            <v>229</v>
          </cell>
          <cell r="EM17">
            <v>85.3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180</v>
          </cell>
          <cell r="EV17">
            <v>1</v>
          </cell>
          <cell r="EW17">
            <v>1</v>
          </cell>
          <cell r="EX17">
            <v>0</v>
          </cell>
          <cell r="EY17">
            <v>0</v>
          </cell>
          <cell r="EZ17">
            <v>0</v>
          </cell>
          <cell r="FA17">
            <v>48</v>
          </cell>
          <cell r="FB17">
            <v>1</v>
          </cell>
          <cell r="FC17">
            <v>1</v>
          </cell>
          <cell r="FD17">
            <v>0</v>
          </cell>
          <cell r="FE17">
            <v>0</v>
          </cell>
          <cell r="FF17">
            <v>15.62</v>
          </cell>
          <cell r="FG17">
            <v>15.6199951171875</v>
          </cell>
          <cell r="FH17" t="str">
            <v>С УЛК (ЖЭУ)</v>
          </cell>
          <cell r="FI17">
            <v>43647</v>
          </cell>
          <cell r="FJ17">
            <v>15477</v>
          </cell>
          <cell r="FK17">
            <v>11108</v>
          </cell>
          <cell r="FL17">
            <v>1043.4000000000001</v>
          </cell>
          <cell r="FM17">
            <v>78.92</v>
          </cell>
          <cell r="FN17">
            <v>847.44</v>
          </cell>
          <cell r="FO17">
            <v>2542.3200000000002</v>
          </cell>
        </row>
        <row r="18">
          <cell r="AI18" t="str">
            <v>Ул. Рядовая дом 11</v>
          </cell>
          <cell r="AJ18">
            <v>2542.318359375</v>
          </cell>
          <cell r="AK18">
            <v>497.8</v>
          </cell>
          <cell r="AL18">
            <v>316.5</v>
          </cell>
          <cell r="AM18">
            <v>2</v>
          </cell>
          <cell r="AN18">
            <v>2</v>
          </cell>
          <cell r="AO18" t="str">
            <v>АО УЖХ Демского района</v>
          </cell>
          <cell r="AP18">
            <v>368.02</v>
          </cell>
          <cell r="AQ18">
            <v>129.78</v>
          </cell>
          <cell r="AR18">
            <v>64.2</v>
          </cell>
          <cell r="AS18">
            <v>0</v>
          </cell>
          <cell r="AT18">
            <v>8</v>
          </cell>
          <cell r="AU18">
            <v>2</v>
          </cell>
          <cell r="AV18">
            <v>22</v>
          </cell>
          <cell r="AW18">
            <v>0</v>
          </cell>
          <cell r="AX18">
            <v>0</v>
          </cell>
          <cell r="AY18">
            <v>0</v>
          </cell>
          <cell r="AZ18">
            <v>302.7</v>
          </cell>
          <cell r="BA18">
            <v>1153.5</v>
          </cell>
          <cell r="BB18">
            <v>1153.5</v>
          </cell>
          <cell r="BC18" t="str">
            <v>Непосредственное</v>
          </cell>
          <cell r="BD18" t="str">
            <v>1. Жилой дом</v>
          </cell>
          <cell r="BE18">
            <v>70.2</v>
          </cell>
          <cell r="BF18" t="str">
            <v>1.Оцинкованный</v>
          </cell>
          <cell r="BG18">
            <v>70.199951171875</v>
          </cell>
          <cell r="BH18" t="str">
            <v>3.Водяной</v>
          </cell>
          <cell r="BI18" t="str">
            <v>МУП УИС</v>
          </cell>
          <cell r="BJ18" t="str">
            <v>1. Чугун</v>
          </cell>
          <cell r="BK18">
            <v>70.199951171875</v>
          </cell>
          <cell r="BL18" t="str">
            <v>2.Кирпич</v>
          </cell>
          <cell r="BM18">
            <v>13150</v>
          </cell>
          <cell r="BN18">
            <v>13150</v>
          </cell>
          <cell r="BO18" t="str">
            <v>Не оборудован</v>
          </cell>
          <cell r="BP18" t="str">
            <v>2.Лист железный</v>
          </cell>
          <cell r="BQ18" t="str">
            <v>1.Скатная</v>
          </cell>
          <cell r="BR18">
            <v>398.3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 t="str">
            <v>3.Частный жилищный фонд</v>
          </cell>
          <cell r="BX18">
            <v>8</v>
          </cell>
          <cell r="BY18">
            <v>0</v>
          </cell>
          <cell r="BZ18" t="str">
            <v>2-я</v>
          </cell>
          <cell r="CA18">
            <v>1</v>
          </cell>
          <cell r="CB18">
            <v>27.01</v>
          </cell>
          <cell r="CC18">
            <v>1</v>
          </cell>
          <cell r="CD18">
            <v>1</v>
          </cell>
          <cell r="CE18">
            <v>1</v>
          </cell>
          <cell r="CF18" t="str">
            <v>ООО "Гранд"</v>
          </cell>
          <cell r="CG18">
            <v>5</v>
          </cell>
          <cell r="CH18">
            <v>3</v>
          </cell>
          <cell r="CI18">
            <v>3</v>
          </cell>
          <cell r="CJ18">
            <v>3</v>
          </cell>
          <cell r="CK18">
            <v>0</v>
          </cell>
          <cell r="CL18">
            <v>0</v>
          </cell>
          <cell r="CM18">
            <v>14</v>
          </cell>
          <cell r="CN18">
            <v>64.2</v>
          </cell>
          <cell r="CO18">
            <v>0</v>
          </cell>
          <cell r="CP18">
            <v>64.2</v>
          </cell>
          <cell r="CQ18">
            <v>64.199951171875</v>
          </cell>
          <cell r="CR18">
            <v>64.199951171875</v>
          </cell>
          <cell r="CS18">
            <v>0</v>
          </cell>
          <cell r="CT18">
            <v>8</v>
          </cell>
          <cell r="CU18">
            <v>0</v>
          </cell>
          <cell r="CV18">
            <v>0</v>
          </cell>
          <cell r="CW18">
            <v>0</v>
          </cell>
          <cell r="CX18">
            <v>1</v>
          </cell>
          <cell r="CY18">
            <v>1</v>
          </cell>
          <cell r="CZ18">
            <v>2524</v>
          </cell>
          <cell r="DA18" t="str">
            <v>Демский</v>
          </cell>
          <cell r="DB18" t="str">
            <v>2.Деревянные</v>
          </cell>
          <cell r="DC18">
            <v>2524</v>
          </cell>
          <cell r="DD18">
            <v>2524</v>
          </cell>
          <cell r="DE18">
            <v>2524</v>
          </cell>
          <cell r="DF18">
            <v>2524</v>
          </cell>
          <cell r="DG18">
            <v>2524</v>
          </cell>
          <cell r="DH18">
            <v>2524</v>
          </cell>
          <cell r="DI18">
            <v>2524</v>
          </cell>
          <cell r="DJ18">
            <v>2524</v>
          </cell>
          <cell r="DK18">
            <v>0</v>
          </cell>
          <cell r="DL18">
            <v>0</v>
          </cell>
          <cell r="DM18">
            <v>931086</v>
          </cell>
          <cell r="DN18">
            <v>0</v>
          </cell>
          <cell r="DO18">
            <v>0</v>
          </cell>
          <cell r="DP18" t="str">
            <v>УЖХ</v>
          </cell>
          <cell r="DQ18">
            <v>35492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 t="str">
            <v>3.Зависимая схема</v>
          </cell>
          <cell r="EE18" t="str">
            <v>Верхний</v>
          </cell>
          <cell r="EF18">
            <v>0</v>
          </cell>
          <cell r="EG18">
            <v>0</v>
          </cell>
          <cell r="EH18">
            <v>0</v>
          </cell>
          <cell r="EI18">
            <v>1153.5</v>
          </cell>
          <cell r="EJ18">
            <v>10</v>
          </cell>
          <cell r="EK18">
            <v>164.1</v>
          </cell>
          <cell r="EL18">
            <v>164.0999755859375</v>
          </cell>
          <cell r="EM18">
            <v>70.599999999999994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58</v>
          </cell>
          <cell r="FB18">
            <v>1</v>
          </cell>
          <cell r="FC18">
            <v>1</v>
          </cell>
          <cell r="FD18">
            <v>0</v>
          </cell>
          <cell r="FE18">
            <v>0</v>
          </cell>
          <cell r="FF18">
            <v>17.79</v>
          </cell>
          <cell r="FG18">
            <v>17.789993286132813</v>
          </cell>
          <cell r="FH18" t="str">
            <v>С УЛК (ЖЭУ)</v>
          </cell>
          <cell r="FI18">
            <v>43647</v>
          </cell>
          <cell r="FJ18">
            <v>15477</v>
          </cell>
          <cell r="FK18">
            <v>11109</v>
          </cell>
          <cell r="FL18">
            <v>562</v>
          </cell>
          <cell r="FM18">
            <v>78.92</v>
          </cell>
          <cell r="FN18">
            <v>847.44</v>
          </cell>
          <cell r="FO18">
            <v>2542.3200000000002</v>
          </cell>
        </row>
        <row r="19">
          <cell r="AI19" t="str">
            <v>Ул. Грозненская дом 67/1</v>
          </cell>
          <cell r="AJ19">
            <v>2542.318359375</v>
          </cell>
          <cell r="AK19">
            <v>3844.6</v>
          </cell>
          <cell r="AL19">
            <v>2576</v>
          </cell>
          <cell r="AM19">
            <v>2</v>
          </cell>
          <cell r="AN19">
            <v>2</v>
          </cell>
          <cell r="AO19" t="str">
            <v>АО УЖХ Демского района</v>
          </cell>
          <cell r="AP19">
            <v>3632.3</v>
          </cell>
          <cell r="AQ19">
            <v>215</v>
          </cell>
          <cell r="AR19">
            <v>285.89999999999998</v>
          </cell>
          <cell r="AS19">
            <v>330.4</v>
          </cell>
          <cell r="AT19">
            <v>72</v>
          </cell>
          <cell r="AU19">
            <v>9</v>
          </cell>
          <cell r="AV19">
            <v>191</v>
          </cell>
          <cell r="AW19">
            <v>191</v>
          </cell>
          <cell r="AX19" t="str">
            <v>отказ от услуги</v>
          </cell>
          <cell r="AY19">
            <v>191</v>
          </cell>
          <cell r="AZ19">
            <v>857.65</v>
          </cell>
          <cell r="BA19">
            <v>1126.3</v>
          </cell>
          <cell r="BB19">
            <v>1126.2998046875</v>
          </cell>
          <cell r="BC19" t="str">
            <v>Управляющая компания</v>
          </cell>
          <cell r="BD19" t="str">
            <v>1. Жилой дом</v>
          </cell>
          <cell r="BE19">
            <v>28.6</v>
          </cell>
          <cell r="BF19" t="str">
            <v>2.Чёрный</v>
          </cell>
          <cell r="BG19" t="str">
            <v>2.Чёрный</v>
          </cell>
          <cell r="BH19" t="str">
            <v>3.Водяной</v>
          </cell>
          <cell r="BI19" t="str">
            <v>МУП УИС</v>
          </cell>
          <cell r="BJ19" t="str">
            <v>1. Чугун</v>
          </cell>
          <cell r="BK19">
            <v>2</v>
          </cell>
          <cell r="BL19" t="str">
            <v>9.Крупнопанел/блок</v>
          </cell>
          <cell r="BM19">
            <v>32143</v>
          </cell>
          <cell r="BN19">
            <v>32143</v>
          </cell>
          <cell r="BO19" t="str">
            <v>Оборудован</v>
          </cell>
          <cell r="BP19" t="str">
            <v>4.Мягк/рулонная</v>
          </cell>
          <cell r="BQ19" t="str">
            <v>2.Плоская</v>
          </cell>
          <cell r="BR19">
            <v>694</v>
          </cell>
          <cell r="BS19">
            <v>631</v>
          </cell>
          <cell r="BT19">
            <v>631</v>
          </cell>
          <cell r="BU19">
            <v>631</v>
          </cell>
          <cell r="BV19">
            <v>0</v>
          </cell>
          <cell r="BW19" t="str">
            <v>3.Частный жилищный фонд</v>
          </cell>
          <cell r="BX19">
            <v>72</v>
          </cell>
          <cell r="BY19">
            <v>72</v>
          </cell>
          <cell r="BZ19" t="str">
            <v>2-я</v>
          </cell>
          <cell r="CA19">
            <v>1</v>
          </cell>
          <cell r="CB19">
            <v>27.01</v>
          </cell>
          <cell r="CC19">
            <v>27.009994506835938</v>
          </cell>
          <cell r="CD19">
            <v>3847.3</v>
          </cell>
          <cell r="CE19">
            <v>3847.298828125</v>
          </cell>
          <cell r="CF19" t="str">
            <v>ООО "Гранд"</v>
          </cell>
          <cell r="CG19">
            <v>68</v>
          </cell>
          <cell r="CH19">
            <v>4</v>
          </cell>
          <cell r="CI19">
            <v>4</v>
          </cell>
          <cell r="CJ19">
            <v>4</v>
          </cell>
          <cell r="CK19">
            <v>0</v>
          </cell>
          <cell r="CL19">
            <v>1</v>
          </cell>
          <cell r="CM19">
            <v>72</v>
          </cell>
          <cell r="CN19">
            <v>616.29999999999995</v>
          </cell>
          <cell r="CO19">
            <v>616.29999999999995</v>
          </cell>
          <cell r="CP19">
            <v>1247.3</v>
          </cell>
          <cell r="CQ19">
            <v>1247.2998046875</v>
          </cell>
          <cell r="CR19">
            <v>1247.2998046875</v>
          </cell>
          <cell r="CS19">
            <v>2</v>
          </cell>
          <cell r="CT19">
            <v>72</v>
          </cell>
          <cell r="CU19">
            <v>0</v>
          </cell>
          <cell r="CV19">
            <v>62</v>
          </cell>
          <cell r="CW19">
            <v>64</v>
          </cell>
          <cell r="CX19">
            <v>1</v>
          </cell>
          <cell r="CY19">
            <v>1</v>
          </cell>
          <cell r="CZ19">
            <v>15904</v>
          </cell>
          <cell r="DA19" t="str">
            <v>Демский</v>
          </cell>
          <cell r="DB19" t="str">
            <v>3.Сборные ж/б панели</v>
          </cell>
          <cell r="DC19">
            <v>15904</v>
          </cell>
          <cell r="DD19">
            <v>15904</v>
          </cell>
          <cell r="DE19">
            <v>15904</v>
          </cell>
          <cell r="DF19">
            <v>15904</v>
          </cell>
          <cell r="DG19">
            <v>15904</v>
          </cell>
          <cell r="DH19">
            <v>15904</v>
          </cell>
          <cell r="DI19">
            <v>15904</v>
          </cell>
          <cell r="DJ19" t="str">
            <v>АО УЖХ Демского района</v>
          </cell>
          <cell r="DK19">
            <v>15904</v>
          </cell>
          <cell r="DL19">
            <v>15904</v>
          </cell>
          <cell r="DM19">
            <v>8125074</v>
          </cell>
          <cell r="DN19">
            <v>2</v>
          </cell>
          <cell r="DO19" t="str">
            <v>ГВС</v>
          </cell>
          <cell r="DP19" t="str">
            <v>УЖХ</v>
          </cell>
          <cell r="DQ19">
            <v>38934</v>
          </cell>
          <cell r="DR19">
            <v>0</v>
          </cell>
          <cell r="DS19">
            <v>72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 t="str">
            <v>4. Независимая схема</v>
          </cell>
          <cell r="EE19" t="str">
            <v>Нижний</v>
          </cell>
          <cell r="EF19">
            <v>0</v>
          </cell>
          <cell r="EG19">
            <v>0</v>
          </cell>
          <cell r="EH19">
            <v>475</v>
          </cell>
          <cell r="EI19">
            <v>651.29999999999995</v>
          </cell>
          <cell r="EJ19">
            <v>26.9</v>
          </cell>
          <cell r="EK19">
            <v>633.35</v>
          </cell>
          <cell r="EL19">
            <v>0</v>
          </cell>
          <cell r="EM19">
            <v>197.4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0</v>
          </cell>
          <cell r="FD19">
            <v>0</v>
          </cell>
          <cell r="FE19">
            <v>0</v>
          </cell>
          <cell r="FF19">
            <v>18.79</v>
          </cell>
          <cell r="FG19">
            <v>18.789993286132813</v>
          </cell>
          <cell r="FH19">
            <v>18.789993286132813</v>
          </cell>
          <cell r="FI19">
            <v>43466</v>
          </cell>
          <cell r="FJ19">
            <v>15477</v>
          </cell>
          <cell r="FK19">
            <v>15477</v>
          </cell>
          <cell r="FL19">
            <v>5289.9</v>
          </cell>
          <cell r="FM19">
            <v>78.92</v>
          </cell>
          <cell r="FN19">
            <v>1944.72</v>
          </cell>
          <cell r="FO19">
            <v>5834.16</v>
          </cell>
        </row>
        <row r="20">
          <cell r="AI20" t="str">
            <v>Ул. Грозненская дом 67/2</v>
          </cell>
          <cell r="AJ20">
            <v>5834.15625</v>
          </cell>
          <cell r="AK20">
            <v>1662.7</v>
          </cell>
          <cell r="AL20">
            <v>1006.2</v>
          </cell>
          <cell r="AM20">
            <v>1</v>
          </cell>
          <cell r="AN20">
            <v>1</v>
          </cell>
          <cell r="AO20" t="str">
            <v>АО УЖХ Демского района</v>
          </cell>
          <cell r="AP20">
            <v>1570.5</v>
          </cell>
          <cell r="AQ20">
            <v>94.3</v>
          </cell>
          <cell r="AR20">
            <v>126</v>
          </cell>
          <cell r="AS20">
            <v>253.7</v>
          </cell>
          <cell r="AT20">
            <v>35</v>
          </cell>
          <cell r="AU20">
            <v>9</v>
          </cell>
          <cell r="AV20">
            <v>91</v>
          </cell>
          <cell r="AW20">
            <v>91</v>
          </cell>
          <cell r="AX20" t="str">
            <v>отказ от услуги</v>
          </cell>
          <cell r="AY20">
            <v>91</v>
          </cell>
          <cell r="AZ20">
            <v>464</v>
          </cell>
          <cell r="BA20">
            <v>560.6</v>
          </cell>
          <cell r="BB20">
            <v>560.599609375</v>
          </cell>
          <cell r="BC20" t="str">
            <v>Управляющая компания</v>
          </cell>
          <cell r="BD20" t="str">
            <v>1. Жилой дом</v>
          </cell>
          <cell r="BE20">
            <v>28.6</v>
          </cell>
          <cell r="BF20" t="str">
            <v>2.Чёрный</v>
          </cell>
          <cell r="BG20" t="str">
            <v>2.Чёрный</v>
          </cell>
          <cell r="BH20" t="str">
            <v>3.Водяной</v>
          </cell>
          <cell r="BI20" t="str">
            <v>МУП УИС</v>
          </cell>
          <cell r="BJ20" t="str">
            <v>1. Чугун</v>
          </cell>
          <cell r="BK20">
            <v>1</v>
          </cell>
          <cell r="BL20" t="str">
            <v>9.Крупнопанел/блок</v>
          </cell>
          <cell r="BM20">
            <v>32143</v>
          </cell>
          <cell r="BN20">
            <v>32143</v>
          </cell>
          <cell r="BO20" t="str">
            <v>Оборудован</v>
          </cell>
          <cell r="BP20" t="str">
            <v>4.Мягк/рулонная</v>
          </cell>
          <cell r="BQ20" t="str">
            <v>2.Плоская</v>
          </cell>
          <cell r="BR20">
            <v>334</v>
          </cell>
          <cell r="BS20">
            <v>311</v>
          </cell>
          <cell r="BT20">
            <v>311</v>
          </cell>
          <cell r="BU20">
            <v>311</v>
          </cell>
          <cell r="BV20">
            <v>0</v>
          </cell>
          <cell r="BW20" t="str">
            <v>3.Частный жилищный фонд</v>
          </cell>
          <cell r="BX20">
            <v>35</v>
          </cell>
          <cell r="BY20">
            <v>0</v>
          </cell>
          <cell r="BZ20" t="str">
            <v>2-я</v>
          </cell>
          <cell r="CA20">
            <v>1</v>
          </cell>
          <cell r="CB20">
            <v>27.01</v>
          </cell>
          <cell r="CC20">
            <v>27.009994506835938</v>
          </cell>
          <cell r="CD20">
            <v>1664.8</v>
          </cell>
          <cell r="CE20">
            <v>1664.7998046875</v>
          </cell>
          <cell r="CF20" t="str">
            <v>ООО "Гранд"</v>
          </cell>
          <cell r="CG20">
            <v>33</v>
          </cell>
          <cell r="CH20">
            <v>2</v>
          </cell>
          <cell r="CI20">
            <v>2</v>
          </cell>
          <cell r="CJ20">
            <v>2</v>
          </cell>
          <cell r="CK20">
            <v>0</v>
          </cell>
          <cell r="CL20">
            <v>0.25</v>
          </cell>
          <cell r="CM20">
            <v>35</v>
          </cell>
          <cell r="CN20">
            <v>379.7</v>
          </cell>
          <cell r="CO20">
            <v>379.7</v>
          </cell>
          <cell r="CP20">
            <v>690.7</v>
          </cell>
          <cell r="CQ20">
            <v>690.69970703125</v>
          </cell>
          <cell r="CR20">
            <v>690.69970703125</v>
          </cell>
          <cell r="CS20">
            <v>1</v>
          </cell>
          <cell r="CT20">
            <v>35</v>
          </cell>
          <cell r="CU20">
            <v>0</v>
          </cell>
          <cell r="CV20">
            <v>31</v>
          </cell>
          <cell r="CW20">
            <v>30</v>
          </cell>
          <cell r="CX20">
            <v>1</v>
          </cell>
          <cell r="CY20">
            <v>1</v>
          </cell>
          <cell r="CZ20">
            <v>7655</v>
          </cell>
          <cell r="DA20" t="str">
            <v>Демский</v>
          </cell>
          <cell r="DB20" t="str">
            <v>1.Плита монолит/бетон</v>
          </cell>
          <cell r="DC20">
            <v>7655</v>
          </cell>
          <cell r="DD20">
            <v>7655</v>
          </cell>
          <cell r="DE20">
            <v>7655</v>
          </cell>
          <cell r="DF20">
            <v>7655</v>
          </cell>
          <cell r="DG20">
            <v>7655</v>
          </cell>
          <cell r="DH20">
            <v>7655</v>
          </cell>
          <cell r="DI20">
            <v>7655</v>
          </cell>
          <cell r="DJ20" t="str">
            <v>АО УЖХ Демского района</v>
          </cell>
          <cell r="DK20">
            <v>7655</v>
          </cell>
          <cell r="DL20">
            <v>7655</v>
          </cell>
          <cell r="DM20">
            <v>3842858</v>
          </cell>
          <cell r="DN20">
            <v>1</v>
          </cell>
          <cell r="DO20" t="str">
            <v>ГВС</v>
          </cell>
          <cell r="DP20" t="str">
            <v>УЖХ</v>
          </cell>
          <cell r="DQ20">
            <v>38934</v>
          </cell>
          <cell r="DR20">
            <v>0</v>
          </cell>
          <cell r="DS20">
            <v>35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 t="str">
            <v>4. Независимая схема</v>
          </cell>
          <cell r="EE20" t="str">
            <v>Нижний</v>
          </cell>
          <cell r="EF20">
            <v>0</v>
          </cell>
          <cell r="EG20">
            <v>0</v>
          </cell>
          <cell r="EH20">
            <v>0</v>
          </cell>
          <cell r="EI20">
            <v>560.6</v>
          </cell>
          <cell r="EJ20">
            <v>53</v>
          </cell>
          <cell r="EK20">
            <v>279.60000000000002</v>
          </cell>
          <cell r="EL20">
            <v>279.599853515625</v>
          </cell>
          <cell r="EM20">
            <v>131.4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21.59</v>
          </cell>
          <cell r="FG20">
            <v>21.589996337890625</v>
          </cell>
          <cell r="FH20">
            <v>21.589996337890625</v>
          </cell>
          <cell r="FI20">
            <v>44713</v>
          </cell>
          <cell r="FJ20">
            <v>15477</v>
          </cell>
          <cell r="FK20">
            <v>15477</v>
          </cell>
          <cell r="FL20">
            <v>2488.4</v>
          </cell>
          <cell r="FM20">
            <v>78.92</v>
          </cell>
          <cell r="FN20">
            <v>945.35</v>
          </cell>
          <cell r="FO20">
            <v>2836.05</v>
          </cell>
        </row>
        <row r="21">
          <cell r="AI21" t="str">
            <v>Ул. Грозненская дом 67/3</v>
          </cell>
          <cell r="AJ21">
            <v>2836.048828125</v>
          </cell>
          <cell r="AK21">
            <v>3839.4</v>
          </cell>
          <cell r="AL21">
            <v>2575.8000000000002</v>
          </cell>
          <cell r="AM21">
            <v>2</v>
          </cell>
          <cell r="AN21">
            <v>2</v>
          </cell>
          <cell r="AO21" t="str">
            <v>АО УЖХ Демского района</v>
          </cell>
          <cell r="AP21">
            <v>3665.7</v>
          </cell>
          <cell r="AQ21">
            <v>177.3</v>
          </cell>
          <cell r="AR21">
            <v>273.5</v>
          </cell>
          <cell r="AS21">
            <v>328.4</v>
          </cell>
          <cell r="AT21">
            <v>72</v>
          </cell>
          <cell r="AU21">
            <v>9</v>
          </cell>
          <cell r="AV21">
            <v>192</v>
          </cell>
          <cell r="AW21">
            <v>192</v>
          </cell>
          <cell r="AX21" t="str">
            <v>отказ от услуги</v>
          </cell>
          <cell r="AY21">
            <v>192</v>
          </cell>
          <cell r="AZ21">
            <v>1671.9</v>
          </cell>
          <cell r="BA21">
            <v>894.4</v>
          </cell>
          <cell r="BB21">
            <v>894.39990234375</v>
          </cell>
          <cell r="BC21" t="str">
            <v>Управляющая компания</v>
          </cell>
          <cell r="BD21" t="str">
            <v>1. Жилой дом</v>
          </cell>
          <cell r="BE21">
            <v>28.6</v>
          </cell>
          <cell r="BF21" t="str">
            <v>2.Чёрный</v>
          </cell>
          <cell r="BG21" t="str">
            <v>2.Чёрный</v>
          </cell>
          <cell r="BH21" t="str">
            <v>3.Водяной</v>
          </cell>
          <cell r="BI21" t="str">
            <v>МУП УИС</v>
          </cell>
          <cell r="BJ21" t="str">
            <v>1. Чугун</v>
          </cell>
          <cell r="BK21">
            <v>2</v>
          </cell>
          <cell r="BL21" t="str">
            <v>9.Крупнопанел/блок</v>
          </cell>
          <cell r="BM21">
            <v>32143</v>
          </cell>
          <cell r="BN21">
            <v>32143</v>
          </cell>
          <cell r="BO21" t="str">
            <v>Оборудован</v>
          </cell>
          <cell r="BP21" t="str">
            <v>4.Мягк/рулонная</v>
          </cell>
          <cell r="BQ21" t="str">
            <v>2.Плоская</v>
          </cell>
          <cell r="BR21">
            <v>687</v>
          </cell>
          <cell r="BS21">
            <v>611</v>
          </cell>
          <cell r="BT21">
            <v>611</v>
          </cell>
          <cell r="BU21">
            <v>611</v>
          </cell>
          <cell r="BV21">
            <v>0</v>
          </cell>
          <cell r="BW21" t="str">
            <v>3.Частный жилищный фонд</v>
          </cell>
          <cell r="BX21">
            <v>72</v>
          </cell>
          <cell r="BY21">
            <v>0</v>
          </cell>
          <cell r="BZ21" t="str">
            <v>2-я</v>
          </cell>
          <cell r="CA21">
            <v>1</v>
          </cell>
          <cell r="CB21">
            <v>27.01</v>
          </cell>
          <cell r="CC21">
            <v>27.009994506835938</v>
          </cell>
          <cell r="CD21">
            <v>3843</v>
          </cell>
          <cell r="CE21">
            <v>3843</v>
          </cell>
          <cell r="CF21" t="str">
            <v>ООО "Гранд"</v>
          </cell>
          <cell r="CG21">
            <v>69</v>
          </cell>
          <cell r="CH21">
            <v>3</v>
          </cell>
          <cell r="CI21">
            <v>3</v>
          </cell>
          <cell r="CJ21">
            <v>3</v>
          </cell>
          <cell r="CK21">
            <v>0</v>
          </cell>
          <cell r="CL21">
            <v>0.25</v>
          </cell>
          <cell r="CM21">
            <v>72</v>
          </cell>
          <cell r="CN21">
            <v>601.9</v>
          </cell>
          <cell r="CO21">
            <v>601.9</v>
          </cell>
          <cell r="CP21">
            <v>1212.9000000000001</v>
          </cell>
          <cell r="CQ21">
            <v>1212.8994140625</v>
          </cell>
          <cell r="CR21">
            <v>1212.8994140625</v>
          </cell>
          <cell r="CS21">
            <v>2</v>
          </cell>
          <cell r="CT21">
            <v>72</v>
          </cell>
          <cell r="CU21">
            <v>0</v>
          </cell>
          <cell r="CV21">
            <v>63</v>
          </cell>
          <cell r="CW21">
            <v>69</v>
          </cell>
          <cell r="CX21">
            <v>1</v>
          </cell>
          <cell r="CY21">
            <v>1</v>
          </cell>
          <cell r="CZ21">
            <v>17818</v>
          </cell>
          <cell r="DA21" t="str">
            <v>Демский</v>
          </cell>
          <cell r="DB21" t="str">
            <v>1.Плита монолит/бетон</v>
          </cell>
          <cell r="DC21">
            <v>17818</v>
          </cell>
          <cell r="DD21">
            <v>17818</v>
          </cell>
          <cell r="DE21">
            <v>17818</v>
          </cell>
          <cell r="DF21">
            <v>17818</v>
          </cell>
          <cell r="DG21">
            <v>17818</v>
          </cell>
          <cell r="DH21">
            <v>17818</v>
          </cell>
          <cell r="DI21">
            <v>17818</v>
          </cell>
          <cell r="DJ21" t="str">
            <v>АО УЖХ Демского района</v>
          </cell>
          <cell r="DK21">
            <v>17818</v>
          </cell>
          <cell r="DL21">
            <v>17818</v>
          </cell>
          <cell r="DM21">
            <v>8036691</v>
          </cell>
          <cell r="DN21">
            <v>2</v>
          </cell>
          <cell r="DO21" t="str">
            <v>ГВС</v>
          </cell>
          <cell r="DP21" t="str">
            <v>УЖХ</v>
          </cell>
          <cell r="DQ21">
            <v>38934</v>
          </cell>
          <cell r="DR21">
            <v>0</v>
          </cell>
          <cell r="DS21">
            <v>72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 t="str">
            <v>4. Независимая схема</v>
          </cell>
          <cell r="EE21" t="str">
            <v>Нижний</v>
          </cell>
          <cell r="EF21">
            <v>0</v>
          </cell>
          <cell r="EG21">
            <v>0</v>
          </cell>
          <cell r="EH21">
            <v>0</v>
          </cell>
          <cell r="EI21">
            <v>726.4</v>
          </cell>
          <cell r="EJ21">
            <v>33.6</v>
          </cell>
          <cell r="EK21">
            <v>1470</v>
          </cell>
          <cell r="EL21">
            <v>1470</v>
          </cell>
          <cell r="EM21">
            <v>150.30000000000001</v>
          </cell>
          <cell r="EN21">
            <v>3</v>
          </cell>
          <cell r="EO21">
            <v>3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168</v>
          </cell>
          <cell r="EV21">
            <v>1</v>
          </cell>
          <cell r="EW21">
            <v>18</v>
          </cell>
          <cell r="EX21">
            <v>1</v>
          </cell>
          <cell r="EY21">
            <v>1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16.38</v>
          </cell>
          <cell r="FG21">
            <v>16.379989624023438</v>
          </cell>
          <cell r="FH21">
            <v>16.379989624023438</v>
          </cell>
          <cell r="FI21">
            <v>43466</v>
          </cell>
          <cell r="FJ21">
            <v>15477</v>
          </cell>
          <cell r="FK21">
            <v>15477</v>
          </cell>
          <cell r="FL21">
            <v>5232.3</v>
          </cell>
          <cell r="FM21">
            <v>78.92</v>
          </cell>
          <cell r="FN21">
            <v>1944.72</v>
          </cell>
          <cell r="FO21">
            <v>5834.16</v>
          </cell>
        </row>
        <row r="22">
          <cell r="AI22" t="str">
            <v>Ул. Грозненская дом 67/4</v>
          </cell>
          <cell r="AJ22">
            <v>5834.15625</v>
          </cell>
          <cell r="AK22">
            <v>1675.4</v>
          </cell>
          <cell r="AL22">
            <v>992.7</v>
          </cell>
          <cell r="AM22">
            <v>1</v>
          </cell>
          <cell r="AN22">
            <v>1</v>
          </cell>
          <cell r="AO22" t="str">
            <v>АО УЖХ Демского района</v>
          </cell>
          <cell r="AP22">
            <v>1580.57</v>
          </cell>
          <cell r="AQ22">
            <v>94.83</v>
          </cell>
          <cell r="AR22">
            <v>126</v>
          </cell>
          <cell r="AS22">
            <v>259.10000000000002</v>
          </cell>
          <cell r="AT22">
            <v>35</v>
          </cell>
          <cell r="AU22">
            <v>9</v>
          </cell>
          <cell r="AV22">
            <v>83</v>
          </cell>
          <cell r="AW22">
            <v>83</v>
          </cell>
          <cell r="AX22" t="str">
            <v>отказ от услуги</v>
          </cell>
          <cell r="AY22">
            <v>83</v>
          </cell>
          <cell r="AZ22">
            <v>413.1</v>
          </cell>
          <cell r="BA22">
            <v>611.6</v>
          </cell>
          <cell r="BB22">
            <v>611.599609375</v>
          </cell>
          <cell r="BC22" t="str">
            <v>Управляющая компания</v>
          </cell>
          <cell r="BD22" t="str">
            <v>1. Жилой дом</v>
          </cell>
          <cell r="BE22">
            <v>28.6</v>
          </cell>
          <cell r="BF22" t="str">
            <v>2.Чёрный</v>
          </cell>
          <cell r="BG22" t="str">
            <v>2.Чёрный</v>
          </cell>
          <cell r="BH22" t="str">
            <v>3.Водяной</v>
          </cell>
          <cell r="BI22" t="str">
            <v>МУП УИС</v>
          </cell>
          <cell r="BJ22" t="str">
            <v>1. Чугун</v>
          </cell>
          <cell r="BK22">
            <v>1</v>
          </cell>
          <cell r="BL22" t="str">
            <v>9.Крупнопанел/блок</v>
          </cell>
          <cell r="BM22">
            <v>32143</v>
          </cell>
          <cell r="BN22">
            <v>32143</v>
          </cell>
          <cell r="BO22" t="str">
            <v>Оборудован</v>
          </cell>
          <cell r="BP22" t="str">
            <v>4.Мягк/рулонная</v>
          </cell>
          <cell r="BQ22" t="str">
            <v>2.Плоская</v>
          </cell>
          <cell r="BR22">
            <v>327</v>
          </cell>
          <cell r="BS22">
            <v>290</v>
          </cell>
          <cell r="BT22">
            <v>290</v>
          </cell>
          <cell r="BU22">
            <v>290</v>
          </cell>
          <cell r="BV22">
            <v>0</v>
          </cell>
          <cell r="BW22" t="str">
            <v>3.Частный жилищный фонд</v>
          </cell>
          <cell r="BX22">
            <v>35</v>
          </cell>
          <cell r="BY22">
            <v>0</v>
          </cell>
          <cell r="BZ22" t="str">
            <v>2-я</v>
          </cell>
          <cell r="CA22">
            <v>1</v>
          </cell>
          <cell r="CB22">
            <v>27.01</v>
          </cell>
          <cell r="CC22">
            <v>27.009994506835938</v>
          </cell>
          <cell r="CD22">
            <v>1675.4</v>
          </cell>
          <cell r="CE22">
            <v>1675.3994140625</v>
          </cell>
          <cell r="CF22" t="str">
            <v>ООО "Гранд"</v>
          </cell>
          <cell r="CG22">
            <v>33</v>
          </cell>
          <cell r="CH22">
            <v>2</v>
          </cell>
          <cell r="CI22">
            <v>2</v>
          </cell>
          <cell r="CJ22">
            <v>2</v>
          </cell>
          <cell r="CK22">
            <v>0</v>
          </cell>
          <cell r="CL22">
            <v>0.25</v>
          </cell>
          <cell r="CM22">
            <v>37</v>
          </cell>
          <cell r="CN22">
            <v>385.1</v>
          </cell>
          <cell r="CO22">
            <v>385.1</v>
          </cell>
          <cell r="CP22">
            <v>675.1</v>
          </cell>
          <cell r="CQ22">
            <v>675.099609375</v>
          </cell>
          <cell r="CR22">
            <v>675.099609375</v>
          </cell>
          <cell r="CS22">
            <v>1</v>
          </cell>
          <cell r="CT22">
            <v>35</v>
          </cell>
          <cell r="CU22">
            <v>0</v>
          </cell>
          <cell r="CV22">
            <v>29</v>
          </cell>
          <cell r="CW22">
            <v>29</v>
          </cell>
          <cell r="CX22">
            <v>1</v>
          </cell>
          <cell r="CY22">
            <v>1</v>
          </cell>
          <cell r="CZ22">
            <v>7512</v>
          </cell>
          <cell r="DA22" t="str">
            <v>Демский</v>
          </cell>
          <cell r="DB22" t="str">
            <v>1.Плита монолит/бетон</v>
          </cell>
          <cell r="DC22">
            <v>7512</v>
          </cell>
          <cell r="DD22">
            <v>7512</v>
          </cell>
          <cell r="DE22">
            <v>7512</v>
          </cell>
          <cell r="DF22">
            <v>7512</v>
          </cell>
          <cell r="DG22">
            <v>7512</v>
          </cell>
          <cell r="DH22">
            <v>7512</v>
          </cell>
          <cell r="DI22">
            <v>7512</v>
          </cell>
          <cell r="DJ22" t="str">
            <v>АО УЖХ Демского района</v>
          </cell>
          <cell r="DK22">
            <v>7512</v>
          </cell>
          <cell r="DL22">
            <v>7512</v>
          </cell>
          <cell r="DM22">
            <v>3837749</v>
          </cell>
          <cell r="DN22">
            <v>1</v>
          </cell>
          <cell r="DO22" t="str">
            <v>ГВС</v>
          </cell>
          <cell r="DP22" t="str">
            <v>УЖХ</v>
          </cell>
          <cell r="DQ22">
            <v>38934</v>
          </cell>
          <cell r="DR22">
            <v>0</v>
          </cell>
          <cell r="DS22">
            <v>35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 t="str">
            <v>4. Независимая схема</v>
          </cell>
          <cell r="EE22" t="str">
            <v>Нижний</v>
          </cell>
          <cell r="EF22">
            <v>0</v>
          </cell>
          <cell r="EG22">
            <v>0</v>
          </cell>
          <cell r="EH22">
            <v>217.5</v>
          </cell>
          <cell r="EI22">
            <v>394.1</v>
          </cell>
          <cell r="EJ22">
            <v>138.5</v>
          </cell>
          <cell r="EK22">
            <v>230.9</v>
          </cell>
          <cell r="EL22">
            <v>0</v>
          </cell>
          <cell r="EM22">
            <v>43.7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19.04</v>
          </cell>
          <cell r="FG22">
            <v>19.039993286132813</v>
          </cell>
          <cell r="FH22">
            <v>19.039993286132813</v>
          </cell>
          <cell r="FI22">
            <v>43466</v>
          </cell>
          <cell r="FJ22">
            <v>15477</v>
          </cell>
          <cell r="FK22">
            <v>15477</v>
          </cell>
          <cell r="FL22">
            <v>2485.5</v>
          </cell>
          <cell r="FM22">
            <v>78.92</v>
          </cell>
          <cell r="FN22">
            <v>945.35</v>
          </cell>
          <cell r="FO22">
            <v>2836.05</v>
          </cell>
        </row>
        <row r="23">
          <cell r="AI23" t="str">
            <v>Ул. Магистральная дом 27</v>
          </cell>
          <cell r="AJ23">
            <v>2836.048828125</v>
          </cell>
          <cell r="AK23">
            <v>7675.5</v>
          </cell>
          <cell r="AL23">
            <v>5092.3999999999996</v>
          </cell>
          <cell r="AM23">
            <v>4</v>
          </cell>
          <cell r="AN23">
            <v>4</v>
          </cell>
          <cell r="AO23" t="str">
            <v>АО УЖХ Демского района</v>
          </cell>
          <cell r="AP23">
            <v>7425.9</v>
          </cell>
          <cell r="AQ23">
            <v>257.2</v>
          </cell>
          <cell r="AR23">
            <v>587.9</v>
          </cell>
          <cell r="AS23">
            <v>721.4</v>
          </cell>
          <cell r="AT23">
            <v>144</v>
          </cell>
          <cell r="AU23">
            <v>9</v>
          </cell>
          <cell r="AV23">
            <v>374</v>
          </cell>
          <cell r="AW23">
            <v>0</v>
          </cell>
          <cell r="AX23" t="str">
            <v>отказ от услуги</v>
          </cell>
          <cell r="AY23">
            <v>777.2</v>
          </cell>
          <cell r="AZ23">
            <v>1663.3</v>
          </cell>
          <cell r="BA23">
            <v>1943.7</v>
          </cell>
          <cell r="BB23">
            <v>1943.69921875</v>
          </cell>
          <cell r="BC23" t="str">
            <v>Управляющая компания</v>
          </cell>
          <cell r="BD23" t="str">
            <v>1. Жилой дом</v>
          </cell>
          <cell r="BE23">
            <v>26.2</v>
          </cell>
          <cell r="BF23" t="str">
            <v>2.Чёрный</v>
          </cell>
          <cell r="BG23" t="str">
            <v>2.Чёрный</v>
          </cell>
          <cell r="BH23" t="str">
            <v>3.Водяной</v>
          </cell>
          <cell r="BI23" t="str">
            <v>МУП УИС</v>
          </cell>
          <cell r="BJ23" t="str">
            <v>1. Чугун</v>
          </cell>
          <cell r="BK23">
            <v>4</v>
          </cell>
          <cell r="BL23" t="str">
            <v>8.Сборные ж/б</v>
          </cell>
          <cell r="BM23">
            <v>33239</v>
          </cell>
          <cell r="BN23">
            <v>33239</v>
          </cell>
          <cell r="BO23" t="str">
            <v>Оборудован</v>
          </cell>
          <cell r="BP23" t="str">
            <v>4.Мягк/рулонная</v>
          </cell>
          <cell r="BQ23" t="str">
            <v>2.Плоская</v>
          </cell>
          <cell r="BR23">
            <v>1359.8</v>
          </cell>
          <cell r="BS23">
            <v>1236</v>
          </cell>
          <cell r="BT23">
            <v>1236</v>
          </cell>
          <cell r="BU23">
            <v>1236</v>
          </cell>
          <cell r="BV23">
            <v>0</v>
          </cell>
          <cell r="BW23" t="str">
            <v>3.Частный жилищный фонд</v>
          </cell>
          <cell r="BX23">
            <v>144</v>
          </cell>
          <cell r="BY23">
            <v>0</v>
          </cell>
          <cell r="BZ23" t="str">
            <v>2-я</v>
          </cell>
          <cell r="CA23">
            <v>1</v>
          </cell>
          <cell r="CB23">
            <v>27.01</v>
          </cell>
          <cell r="CC23">
            <v>27.009994506835938</v>
          </cell>
          <cell r="CD23">
            <v>7683.1</v>
          </cell>
          <cell r="CE23">
            <v>7683.09765625</v>
          </cell>
          <cell r="CF23" t="str">
            <v>ООО "Дёма Комфорт"</v>
          </cell>
          <cell r="CG23">
            <v>139</v>
          </cell>
          <cell r="CH23">
            <v>5</v>
          </cell>
          <cell r="CI23">
            <v>5</v>
          </cell>
          <cell r="CJ23">
            <v>5</v>
          </cell>
          <cell r="CK23">
            <v>0</v>
          </cell>
          <cell r="CL23">
            <v>1</v>
          </cell>
          <cell r="CM23">
            <v>145</v>
          </cell>
          <cell r="CN23">
            <v>1309.3</v>
          </cell>
          <cell r="CO23">
            <v>1309.3</v>
          </cell>
          <cell r="CP23">
            <v>2545.3000000000002</v>
          </cell>
          <cell r="CQ23">
            <v>2545.298828125</v>
          </cell>
          <cell r="CR23">
            <v>2545.298828125</v>
          </cell>
          <cell r="CS23">
            <v>1</v>
          </cell>
          <cell r="CT23">
            <v>144</v>
          </cell>
          <cell r="CU23">
            <v>0</v>
          </cell>
          <cell r="CV23">
            <v>126</v>
          </cell>
          <cell r="CW23">
            <v>133</v>
          </cell>
          <cell r="CX23">
            <v>1</v>
          </cell>
          <cell r="CY23">
            <v>1</v>
          </cell>
          <cell r="CZ23">
            <v>31152</v>
          </cell>
          <cell r="DA23" t="str">
            <v>Демский</v>
          </cell>
          <cell r="DB23" t="str">
            <v>3.Сборные ж/б панели</v>
          </cell>
          <cell r="DC23">
            <v>31152</v>
          </cell>
          <cell r="DD23">
            <v>31152</v>
          </cell>
          <cell r="DE23">
            <v>31152</v>
          </cell>
          <cell r="DF23">
            <v>31152</v>
          </cell>
          <cell r="DG23">
            <v>31152</v>
          </cell>
          <cell r="DH23">
            <v>31152</v>
          </cell>
          <cell r="DI23">
            <v>31152</v>
          </cell>
          <cell r="DJ23" t="str">
            <v>АО УЖХ Демского района</v>
          </cell>
          <cell r="DK23">
            <v>31152</v>
          </cell>
          <cell r="DL23">
            <v>31152</v>
          </cell>
          <cell r="DM23">
            <v>17119186</v>
          </cell>
          <cell r="DN23">
            <v>3</v>
          </cell>
          <cell r="DO23" t="str">
            <v>ГВС</v>
          </cell>
          <cell r="DP23" t="str">
            <v>УЖХ</v>
          </cell>
          <cell r="DQ23">
            <v>40376</v>
          </cell>
          <cell r="DR23">
            <v>0</v>
          </cell>
          <cell r="DS23">
            <v>144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 t="str">
            <v>4. Независимая схема</v>
          </cell>
          <cell r="EE23" t="str">
            <v>Нижний</v>
          </cell>
          <cell r="EF23">
            <v>0</v>
          </cell>
          <cell r="EG23">
            <v>0</v>
          </cell>
          <cell r="EH23">
            <v>7</v>
          </cell>
          <cell r="EI23">
            <v>1688.7</v>
          </cell>
          <cell r="EJ23">
            <v>612.79999999999995</v>
          </cell>
          <cell r="EK23">
            <v>706</v>
          </cell>
          <cell r="EL23">
            <v>100</v>
          </cell>
          <cell r="EM23">
            <v>173.5</v>
          </cell>
          <cell r="EN23">
            <v>3</v>
          </cell>
          <cell r="EO23">
            <v>3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248</v>
          </cell>
          <cell r="EV23">
            <v>1</v>
          </cell>
          <cell r="EW23">
            <v>18</v>
          </cell>
          <cell r="EX23">
            <v>1</v>
          </cell>
          <cell r="EY23">
            <v>1</v>
          </cell>
          <cell r="EZ23">
            <v>0</v>
          </cell>
          <cell r="FA23">
            <v>53</v>
          </cell>
          <cell r="FB23">
            <v>1</v>
          </cell>
          <cell r="FC23">
            <v>1</v>
          </cell>
          <cell r="FD23">
            <v>0</v>
          </cell>
          <cell r="FE23">
            <v>0</v>
          </cell>
          <cell r="FF23">
            <v>18.86</v>
          </cell>
          <cell r="FG23">
            <v>2</v>
          </cell>
          <cell r="FH23">
            <v>2</v>
          </cell>
          <cell r="FI23">
            <v>43466</v>
          </cell>
          <cell r="FJ23">
            <v>15477</v>
          </cell>
          <cell r="FK23">
            <v>15477</v>
          </cell>
          <cell r="FL23">
            <v>11358</v>
          </cell>
          <cell r="FM23">
            <v>78.92</v>
          </cell>
          <cell r="FN23">
            <v>3889.44</v>
          </cell>
          <cell r="FO23">
            <v>11668.32</v>
          </cell>
        </row>
        <row r="24">
          <cell r="AI24" t="str">
            <v>Ул. Грозненская дом 67/5</v>
          </cell>
          <cell r="AJ24">
            <v>11668.3125</v>
          </cell>
          <cell r="AK24">
            <v>3843.9</v>
          </cell>
          <cell r="AL24">
            <v>2588.4</v>
          </cell>
          <cell r="AM24">
            <v>2</v>
          </cell>
          <cell r="AN24">
            <v>2</v>
          </cell>
          <cell r="AO24" t="str">
            <v>АО УЖХ Демского района</v>
          </cell>
          <cell r="AP24">
            <v>3492.57</v>
          </cell>
          <cell r="AQ24">
            <v>353.63</v>
          </cell>
          <cell r="AR24">
            <v>308.60000000000002</v>
          </cell>
          <cell r="AS24">
            <v>297.10000000000002</v>
          </cell>
          <cell r="AT24">
            <v>72</v>
          </cell>
          <cell r="AU24">
            <v>9</v>
          </cell>
          <cell r="AV24">
            <v>211</v>
          </cell>
          <cell r="AW24">
            <v>211</v>
          </cell>
          <cell r="AX24" t="str">
            <v>отказ от услуги</v>
          </cell>
          <cell r="AY24">
            <v>211</v>
          </cell>
          <cell r="AZ24">
            <v>1124.5</v>
          </cell>
          <cell r="BA24">
            <v>1512</v>
          </cell>
          <cell r="BB24">
            <v>1512</v>
          </cell>
          <cell r="BC24" t="str">
            <v>Управляющая компания</v>
          </cell>
          <cell r="BD24" t="str">
            <v>1. Жилой дом</v>
          </cell>
          <cell r="BE24">
            <v>28.6</v>
          </cell>
          <cell r="BF24" t="str">
            <v>2.Чёрный</v>
          </cell>
          <cell r="BG24" t="str">
            <v>2.Чёрный</v>
          </cell>
          <cell r="BH24" t="str">
            <v>3.Водяной</v>
          </cell>
          <cell r="BI24" t="str">
            <v>МУП УИС</v>
          </cell>
          <cell r="BJ24" t="str">
            <v>1. Чугун</v>
          </cell>
          <cell r="BK24">
            <v>2</v>
          </cell>
          <cell r="BL24" t="str">
            <v>9.Крупнопанел/блок</v>
          </cell>
          <cell r="BM24">
            <v>32143</v>
          </cell>
          <cell r="BN24">
            <v>32143</v>
          </cell>
          <cell r="BO24" t="str">
            <v>Оборудован</v>
          </cell>
          <cell r="BP24" t="str">
            <v>4.Мягк/рулонная</v>
          </cell>
          <cell r="BQ24" t="str">
            <v>2.Плоская</v>
          </cell>
          <cell r="BR24">
            <v>687.6</v>
          </cell>
          <cell r="BS24">
            <v>620</v>
          </cell>
          <cell r="BT24">
            <v>620</v>
          </cell>
          <cell r="BU24">
            <v>620</v>
          </cell>
          <cell r="BV24">
            <v>0</v>
          </cell>
          <cell r="BW24" t="str">
            <v>3.Частный жилищный фонд</v>
          </cell>
          <cell r="BX24">
            <v>72</v>
          </cell>
          <cell r="BY24">
            <v>0</v>
          </cell>
          <cell r="BZ24" t="str">
            <v>2-я</v>
          </cell>
          <cell r="CA24">
            <v>1</v>
          </cell>
          <cell r="CB24">
            <v>27.01</v>
          </cell>
          <cell r="CC24">
            <v>27.009994506835938</v>
          </cell>
          <cell r="CD24">
            <v>3846.2</v>
          </cell>
          <cell r="CE24">
            <v>3846.19921875</v>
          </cell>
          <cell r="CF24" t="str">
            <v>ООО "Гранд"</v>
          </cell>
          <cell r="CG24">
            <v>65</v>
          </cell>
          <cell r="CH24">
            <v>7</v>
          </cell>
          <cell r="CI24">
            <v>7</v>
          </cell>
          <cell r="CJ24">
            <v>7</v>
          </cell>
          <cell r="CK24">
            <v>0</v>
          </cell>
          <cell r="CL24">
            <v>1</v>
          </cell>
          <cell r="CM24">
            <v>74</v>
          </cell>
          <cell r="CN24">
            <v>605.70000000000005</v>
          </cell>
          <cell r="CO24">
            <v>605.70000000000005</v>
          </cell>
          <cell r="CP24">
            <v>1225.7</v>
          </cell>
          <cell r="CQ24">
            <v>1225.69921875</v>
          </cell>
          <cell r="CR24">
            <v>1225.69921875</v>
          </cell>
          <cell r="CS24">
            <v>1</v>
          </cell>
          <cell r="CT24">
            <v>72</v>
          </cell>
          <cell r="CU24">
            <v>0</v>
          </cell>
          <cell r="CV24">
            <v>61</v>
          </cell>
          <cell r="CW24">
            <v>68</v>
          </cell>
          <cell r="CX24">
            <v>1</v>
          </cell>
          <cell r="CY24">
            <v>1</v>
          </cell>
          <cell r="CZ24">
            <v>15752</v>
          </cell>
          <cell r="DA24" t="str">
            <v>Демский</v>
          </cell>
          <cell r="DB24" t="str">
            <v>3.Сборные ж/б панели</v>
          </cell>
          <cell r="DC24">
            <v>15752</v>
          </cell>
          <cell r="DD24">
            <v>15752</v>
          </cell>
          <cell r="DE24">
            <v>15752</v>
          </cell>
          <cell r="DF24">
            <v>15752</v>
          </cell>
          <cell r="DG24">
            <v>15752</v>
          </cell>
          <cell r="DH24">
            <v>15752</v>
          </cell>
          <cell r="DI24">
            <v>15752</v>
          </cell>
          <cell r="DJ24" t="str">
            <v>АО УЖХ Демского района</v>
          </cell>
          <cell r="DK24">
            <v>15752</v>
          </cell>
          <cell r="DL24">
            <v>15752</v>
          </cell>
          <cell r="DM24">
            <v>8042822</v>
          </cell>
          <cell r="DN24">
            <v>2</v>
          </cell>
          <cell r="DO24" t="str">
            <v>ГВС</v>
          </cell>
          <cell r="DP24" t="str">
            <v>УЖХ</v>
          </cell>
          <cell r="DQ24">
            <v>38934</v>
          </cell>
          <cell r="DR24">
            <v>0</v>
          </cell>
          <cell r="DS24">
            <v>72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 t="str">
            <v>4. Независимая схема</v>
          </cell>
          <cell r="EE24" t="str">
            <v>Нижний</v>
          </cell>
          <cell r="EF24">
            <v>0</v>
          </cell>
          <cell r="EG24">
            <v>0</v>
          </cell>
          <cell r="EH24">
            <v>0</v>
          </cell>
          <cell r="EI24">
            <v>1262</v>
          </cell>
          <cell r="EJ24">
            <v>185.8</v>
          </cell>
          <cell r="EK24">
            <v>709.5</v>
          </cell>
          <cell r="EL24">
            <v>709.5</v>
          </cell>
          <cell r="EM24">
            <v>187.2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250</v>
          </cell>
          <cell r="EV24">
            <v>1</v>
          </cell>
          <cell r="EW24">
            <v>1</v>
          </cell>
          <cell r="EX24">
            <v>0</v>
          </cell>
          <cell r="EY24">
            <v>0</v>
          </cell>
          <cell r="EZ24">
            <v>0</v>
          </cell>
          <cell r="FA24">
            <v>42</v>
          </cell>
          <cell r="FB24">
            <v>1</v>
          </cell>
          <cell r="FC24">
            <v>1</v>
          </cell>
          <cell r="FD24">
            <v>0</v>
          </cell>
          <cell r="FE24">
            <v>0</v>
          </cell>
          <cell r="FF24">
            <v>18.79</v>
          </cell>
          <cell r="FG24">
            <v>18.789993286132813</v>
          </cell>
          <cell r="FH24">
            <v>18.789993286132813</v>
          </cell>
          <cell r="FI24">
            <v>43466</v>
          </cell>
          <cell r="FJ24">
            <v>15477</v>
          </cell>
          <cell r="FK24">
            <v>15477</v>
          </cell>
          <cell r="FL24">
            <v>5267.6</v>
          </cell>
          <cell r="FM24">
            <v>78.92</v>
          </cell>
          <cell r="FN24">
            <v>1944.72</v>
          </cell>
          <cell r="FO24">
            <v>5834.16</v>
          </cell>
        </row>
        <row r="25">
          <cell r="AI25" t="str">
            <v>Ул. Центральная дом 51</v>
          </cell>
          <cell r="AJ25">
            <v>5834.15625</v>
          </cell>
          <cell r="AK25">
            <v>795.9</v>
          </cell>
          <cell r="AL25">
            <v>466</v>
          </cell>
          <cell r="AM25">
            <v>2</v>
          </cell>
          <cell r="AN25">
            <v>2</v>
          </cell>
          <cell r="AO25" t="str">
            <v>АО УЖХ Демского района</v>
          </cell>
          <cell r="AP25">
            <v>505.5</v>
          </cell>
          <cell r="AQ25">
            <v>290.39999999999998</v>
          </cell>
          <cell r="AR25">
            <v>68.8</v>
          </cell>
          <cell r="AS25">
            <v>4.4000000000000004</v>
          </cell>
          <cell r="AT25">
            <v>19</v>
          </cell>
          <cell r="AU25">
            <v>2</v>
          </cell>
          <cell r="AV25">
            <v>57</v>
          </cell>
          <cell r="AW25">
            <v>57</v>
          </cell>
          <cell r="AX25">
            <v>57</v>
          </cell>
          <cell r="AY25">
            <v>57</v>
          </cell>
          <cell r="AZ25">
            <v>634.5</v>
          </cell>
          <cell r="BA25">
            <v>760.3</v>
          </cell>
          <cell r="BB25">
            <v>760.2998046875</v>
          </cell>
          <cell r="BC25" t="str">
            <v>Непосредственное</v>
          </cell>
          <cell r="BD25" t="str">
            <v>1. Жилой дом</v>
          </cell>
          <cell r="BE25">
            <v>62.75</v>
          </cell>
          <cell r="BF25" t="str">
            <v>2.Чёрный</v>
          </cell>
          <cell r="BG25">
            <v>62.75</v>
          </cell>
          <cell r="BH25" t="str">
            <v>3.Водяной</v>
          </cell>
          <cell r="BI25" t="str">
            <v>МУП УИС</v>
          </cell>
          <cell r="BJ25" t="str">
            <v>1. Чугун</v>
          </cell>
          <cell r="BK25">
            <v>62.75</v>
          </cell>
          <cell r="BL25" t="str">
            <v>2.Кирпич</v>
          </cell>
          <cell r="BM25">
            <v>22282</v>
          </cell>
          <cell r="BN25">
            <v>22282</v>
          </cell>
          <cell r="BO25" t="str">
            <v>Не оборудован</v>
          </cell>
          <cell r="BP25" t="str">
            <v>1.Абсоцемент(шифер)</v>
          </cell>
          <cell r="BQ25" t="str">
            <v>1.Скатная</v>
          </cell>
          <cell r="BR25">
            <v>365.9</v>
          </cell>
          <cell r="BS25">
            <v>365.89990234375</v>
          </cell>
          <cell r="BT25">
            <v>365.89990234375</v>
          </cell>
          <cell r="BU25">
            <v>365.89990234375</v>
          </cell>
          <cell r="BV25">
            <v>365.89990234375</v>
          </cell>
          <cell r="BW25" t="str">
            <v>3.Частный жилищный фонд</v>
          </cell>
          <cell r="BX25">
            <v>19</v>
          </cell>
          <cell r="BY25">
            <v>19</v>
          </cell>
          <cell r="BZ25" t="str">
            <v>3-я</v>
          </cell>
          <cell r="CA25">
            <v>1</v>
          </cell>
          <cell r="CB25">
            <v>27.01</v>
          </cell>
          <cell r="CC25">
            <v>27.009994506835938</v>
          </cell>
          <cell r="CD25">
            <v>27.009994506835938</v>
          </cell>
          <cell r="CE25">
            <v>27.009994506835938</v>
          </cell>
          <cell r="CF25" t="str">
            <v>ООО "Гранд"</v>
          </cell>
          <cell r="CG25">
            <v>13</v>
          </cell>
          <cell r="CH25">
            <v>6</v>
          </cell>
          <cell r="CI25">
            <v>6</v>
          </cell>
          <cell r="CJ25">
            <v>6</v>
          </cell>
          <cell r="CK25">
            <v>0</v>
          </cell>
          <cell r="CL25">
            <v>1</v>
          </cell>
          <cell r="CM25">
            <v>19</v>
          </cell>
          <cell r="CN25">
            <v>73.2</v>
          </cell>
          <cell r="CO25">
            <v>0</v>
          </cell>
          <cell r="CP25">
            <v>73.2</v>
          </cell>
          <cell r="CQ25">
            <v>73.199951171875</v>
          </cell>
          <cell r="CR25">
            <v>73.199951171875</v>
          </cell>
          <cell r="CS25">
            <v>5</v>
          </cell>
          <cell r="CT25">
            <v>19</v>
          </cell>
          <cell r="CU25">
            <v>19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3271</v>
          </cell>
          <cell r="DA25" t="str">
            <v>Демский</v>
          </cell>
          <cell r="DB25" t="str">
            <v>2.Деревянные</v>
          </cell>
          <cell r="DC25">
            <v>3271</v>
          </cell>
          <cell r="DD25">
            <v>3271</v>
          </cell>
          <cell r="DE25">
            <v>3271</v>
          </cell>
          <cell r="DF25">
            <v>3271</v>
          </cell>
          <cell r="DG25">
            <v>3271</v>
          </cell>
          <cell r="DH25">
            <v>3271</v>
          </cell>
          <cell r="DI25">
            <v>3271</v>
          </cell>
          <cell r="DJ25">
            <v>3271</v>
          </cell>
          <cell r="DK25">
            <v>0</v>
          </cell>
          <cell r="DL25">
            <v>0</v>
          </cell>
          <cell r="DM25">
            <v>931359</v>
          </cell>
          <cell r="DN25">
            <v>931359</v>
          </cell>
          <cell r="DO25">
            <v>931359</v>
          </cell>
          <cell r="DP25" t="str">
            <v>УЖХ</v>
          </cell>
          <cell r="DQ25">
            <v>40157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 t="str">
            <v>3.Зависимая схема</v>
          </cell>
          <cell r="EE25" t="str">
            <v>Нижний</v>
          </cell>
          <cell r="EF25">
            <v>0</v>
          </cell>
          <cell r="EG25">
            <v>0</v>
          </cell>
          <cell r="EH25">
            <v>410</v>
          </cell>
          <cell r="EI25">
            <v>200.3</v>
          </cell>
          <cell r="EJ25">
            <v>95.8</v>
          </cell>
          <cell r="EK25">
            <v>0</v>
          </cell>
          <cell r="EL25">
            <v>438.75</v>
          </cell>
          <cell r="EM25">
            <v>91.2</v>
          </cell>
          <cell r="EN25">
            <v>1</v>
          </cell>
          <cell r="EO25">
            <v>1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150</v>
          </cell>
          <cell r="EV25">
            <v>1</v>
          </cell>
          <cell r="EW25">
            <v>8.75</v>
          </cell>
          <cell r="EX25">
            <v>1</v>
          </cell>
          <cell r="EY25">
            <v>1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17.78</v>
          </cell>
          <cell r="FG25">
            <v>17.779998779296875</v>
          </cell>
          <cell r="FH25" t="str">
            <v>С УЛК (ЖЭУ)</v>
          </cell>
          <cell r="FI25">
            <v>43647</v>
          </cell>
          <cell r="FJ25">
            <v>15477</v>
          </cell>
          <cell r="FK25">
            <v>15477</v>
          </cell>
          <cell r="FL25">
            <v>869.1</v>
          </cell>
          <cell r="FM25">
            <v>78.92</v>
          </cell>
          <cell r="FN25">
            <v>513.19000000000005</v>
          </cell>
          <cell r="FO25">
            <v>1539.5700000000002</v>
          </cell>
        </row>
        <row r="26">
          <cell r="AI26" t="str">
            <v>Ул. Дагестанская дом 5</v>
          </cell>
          <cell r="AJ26">
            <v>1539.5693359375</v>
          </cell>
          <cell r="AK26">
            <v>1279.9000000000001</v>
          </cell>
          <cell r="AL26">
            <v>893.5</v>
          </cell>
          <cell r="AM26">
            <v>2</v>
          </cell>
          <cell r="AN26">
            <v>2</v>
          </cell>
          <cell r="AO26" t="str">
            <v>АО УЖХ Демского района</v>
          </cell>
          <cell r="AP26">
            <v>1145.3</v>
          </cell>
          <cell r="AQ26">
            <v>134.19999999999999</v>
          </cell>
          <cell r="AR26">
            <v>133.6</v>
          </cell>
          <cell r="AS26">
            <v>6.2</v>
          </cell>
          <cell r="AT26">
            <v>30</v>
          </cell>
          <cell r="AU26">
            <v>5</v>
          </cell>
          <cell r="AV26">
            <v>77</v>
          </cell>
          <cell r="AW26">
            <v>0</v>
          </cell>
          <cell r="AX26">
            <v>0</v>
          </cell>
          <cell r="AY26">
            <v>0</v>
          </cell>
          <cell r="AZ26">
            <v>328.5</v>
          </cell>
          <cell r="BA26">
            <v>1964.1</v>
          </cell>
          <cell r="BB26">
            <v>1964.099609375</v>
          </cell>
          <cell r="BC26" t="str">
            <v>Непосредственное</v>
          </cell>
          <cell r="BD26" t="str">
            <v>1. Жилой дом</v>
          </cell>
          <cell r="BE26">
            <v>46.2</v>
          </cell>
          <cell r="BF26" t="str">
            <v>1.Оцинкованный</v>
          </cell>
          <cell r="BG26">
            <v>46.199981689453125</v>
          </cell>
          <cell r="BH26" t="str">
            <v>3.Водяной</v>
          </cell>
          <cell r="BI26" t="str">
            <v>МУП УИС</v>
          </cell>
          <cell r="BJ26" t="str">
            <v>1. Чугун</v>
          </cell>
          <cell r="BK26">
            <v>46.199981689453125</v>
          </cell>
          <cell r="BL26" t="str">
            <v>8.Сборные ж/б</v>
          </cell>
          <cell r="BM26">
            <v>24108</v>
          </cell>
          <cell r="BN26">
            <v>30</v>
          </cell>
          <cell r="BO26" t="str">
            <v>Оборудован</v>
          </cell>
          <cell r="BP26" t="str">
            <v>4.Мягк/рулонная</v>
          </cell>
          <cell r="BQ26" t="str">
            <v>2.Плоская</v>
          </cell>
          <cell r="BR26">
            <v>374.8</v>
          </cell>
          <cell r="BS26">
            <v>340.7</v>
          </cell>
          <cell r="BT26">
            <v>340.699951171875</v>
          </cell>
          <cell r="BU26">
            <v>340.699951171875</v>
          </cell>
          <cell r="BV26">
            <v>0</v>
          </cell>
          <cell r="BW26" t="str">
            <v>3.Частный жилищный фонд</v>
          </cell>
          <cell r="BX26">
            <v>30</v>
          </cell>
          <cell r="BY26">
            <v>0</v>
          </cell>
          <cell r="BZ26" t="str">
            <v>2-я</v>
          </cell>
          <cell r="CA26">
            <v>1</v>
          </cell>
          <cell r="CB26">
            <v>27.01</v>
          </cell>
          <cell r="CC26">
            <v>1</v>
          </cell>
          <cell r="CD26">
            <v>1</v>
          </cell>
          <cell r="CE26">
            <v>1</v>
          </cell>
          <cell r="CF26" t="str">
            <v>ООО "Гранд"</v>
          </cell>
          <cell r="CG26">
            <v>27</v>
          </cell>
          <cell r="CH26">
            <v>3</v>
          </cell>
          <cell r="CI26">
            <v>3</v>
          </cell>
          <cell r="CJ26">
            <v>3</v>
          </cell>
          <cell r="CK26">
            <v>1</v>
          </cell>
          <cell r="CL26">
            <v>1</v>
          </cell>
          <cell r="CM26">
            <v>30</v>
          </cell>
          <cell r="CN26">
            <v>139.80000000000001</v>
          </cell>
          <cell r="CO26">
            <v>0</v>
          </cell>
          <cell r="CP26">
            <v>480.5</v>
          </cell>
          <cell r="CQ26">
            <v>480.5</v>
          </cell>
          <cell r="CR26">
            <v>480.5</v>
          </cell>
          <cell r="CS26">
            <v>1</v>
          </cell>
          <cell r="CT26">
            <v>30</v>
          </cell>
          <cell r="CU26">
            <v>0</v>
          </cell>
          <cell r="CV26">
            <v>0</v>
          </cell>
          <cell r="CW26">
            <v>0</v>
          </cell>
          <cell r="CX26">
            <v>1</v>
          </cell>
          <cell r="CY26">
            <v>1</v>
          </cell>
          <cell r="CZ26">
            <v>4790</v>
          </cell>
          <cell r="DA26" t="str">
            <v>Демский</v>
          </cell>
          <cell r="DB26" t="str">
            <v>3.Сборные ж/б панели</v>
          </cell>
          <cell r="DC26">
            <v>4790</v>
          </cell>
          <cell r="DD26">
            <v>4790</v>
          </cell>
          <cell r="DE26">
            <v>4790</v>
          </cell>
          <cell r="DF26">
            <v>4790</v>
          </cell>
          <cell r="DG26">
            <v>4790</v>
          </cell>
          <cell r="DH26">
            <v>4790</v>
          </cell>
          <cell r="DI26">
            <v>4790</v>
          </cell>
          <cell r="DJ26">
            <v>4790</v>
          </cell>
          <cell r="DK26">
            <v>0</v>
          </cell>
          <cell r="DL26">
            <v>0</v>
          </cell>
          <cell r="DM26">
            <v>2640177</v>
          </cell>
          <cell r="DN26">
            <v>0</v>
          </cell>
          <cell r="DO26">
            <v>0</v>
          </cell>
          <cell r="DP26" t="str">
            <v>УЖХ</v>
          </cell>
          <cell r="DQ26">
            <v>40326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 t="str">
            <v>3.Зависимая схема</v>
          </cell>
          <cell r="EE26" t="str">
            <v>Нижний</v>
          </cell>
          <cell r="EF26">
            <v>0</v>
          </cell>
          <cell r="EG26">
            <v>0</v>
          </cell>
          <cell r="EH26">
            <v>0</v>
          </cell>
          <cell r="EI26">
            <v>1784.1</v>
          </cell>
          <cell r="EJ26">
            <v>61.2</v>
          </cell>
          <cell r="EK26">
            <v>180</v>
          </cell>
          <cell r="EL26">
            <v>0</v>
          </cell>
          <cell r="EM26">
            <v>19.3</v>
          </cell>
          <cell r="EN26">
            <v>3</v>
          </cell>
          <cell r="EO26">
            <v>3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180</v>
          </cell>
          <cell r="EV26">
            <v>1</v>
          </cell>
          <cell r="EW26">
            <v>18</v>
          </cell>
          <cell r="EX26">
            <v>1</v>
          </cell>
          <cell r="EY26">
            <v>1</v>
          </cell>
          <cell r="EZ26">
            <v>0</v>
          </cell>
          <cell r="FA26">
            <v>50</v>
          </cell>
          <cell r="FB26">
            <v>1</v>
          </cell>
          <cell r="FC26">
            <v>1</v>
          </cell>
          <cell r="FD26">
            <v>0</v>
          </cell>
          <cell r="FE26">
            <v>0</v>
          </cell>
          <cell r="FF26">
            <v>14.55</v>
          </cell>
          <cell r="FG26">
            <v>2</v>
          </cell>
          <cell r="FH26">
            <v>2</v>
          </cell>
          <cell r="FI26">
            <v>43647</v>
          </cell>
          <cell r="FJ26">
            <v>15477</v>
          </cell>
          <cell r="FK26">
            <v>15477</v>
          </cell>
          <cell r="FL26">
            <v>1760.4</v>
          </cell>
          <cell r="FM26">
            <v>78.92</v>
          </cell>
          <cell r="FN26">
            <v>3177.9</v>
          </cell>
          <cell r="FO26">
            <v>9533.7000000000007</v>
          </cell>
        </row>
        <row r="27">
          <cell r="AI27" t="str">
            <v>Ул. Дагестанская дом 7</v>
          </cell>
          <cell r="AJ27">
            <v>9533.6953125</v>
          </cell>
          <cell r="AK27">
            <v>1524.2</v>
          </cell>
          <cell r="AL27">
            <v>1024.5999999999999</v>
          </cell>
          <cell r="AM27">
            <v>3</v>
          </cell>
          <cell r="AN27">
            <v>3</v>
          </cell>
          <cell r="AO27" t="str">
            <v>АО УЖХ Демского района</v>
          </cell>
          <cell r="AP27">
            <v>1521.8</v>
          </cell>
          <cell r="AQ27">
            <v>0</v>
          </cell>
          <cell r="AR27">
            <v>126.3</v>
          </cell>
          <cell r="AS27">
            <v>6.6</v>
          </cell>
          <cell r="AT27">
            <v>36</v>
          </cell>
          <cell r="AU27">
            <v>3</v>
          </cell>
          <cell r="AV27">
            <v>86</v>
          </cell>
          <cell r="AW27">
            <v>0</v>
          </cell>
          <cell r="AX27">
            <v>0</v>
          </cell>
          <cell r="AY27">
            <v>0</v>
          </cell>
          <cell r="AZ27">
            <v>802.2</v>
          </cell>
          <cell r="BA27">
            <v>1716</v>
          </cell>
          <cell r="BB27">
            <v>1716</v>
          </cell>
          <cell r="BC27" t="str">
            <v>Управляющая компания</v>
          </cell>
          <cell r="BD27" t="str">
            <v>1. Жилой дом</v>
          </cell>
          <cell r="BE27">
            <v>51.8</v>
          </cell>
          <cell r="BF27" t="str">
            <v>2.Чёрный</v>
          </cell>
          <cell r="BG27">
            <v>51.79998779296875</v>
          </cell>
          <cell r="BH27" t="str">
            <v>3.Водяной</v>
          </cell>
          <cell r="BI27" t="str">
            <v>МУП УИС</v>
          </cell>
          <cell r="BJ27" t="str">
            <v>1. Чугун</v>
          </cell>
          <cell r="BK27">
            <v>51.79998779296875</v>
          </cell>
          <cell r="BL27" t="str">
            <v>8.Сборные ж/б</v>
          </cell>
          <cell r="BM27">
            <v>21551</v>
          </cell>
          <cell r="BN27">
            <v>36</v>
          </cell>
          <cell r="BO27" t="str">
            <v>Оборудован</v>
          </cell>
          <cell r="BP27" t="str">
            <v>1.Абсоцемент(шифер)</v>
          </cell>
          <cell r="BQ27" t="str">
            <v>1.Скатная</v>
          </cell>
          <cell r="BR27">
            <v>833.2</v>
          </cell>
          <cell r="BS27">
            <v>640.9</v>
          </cell>
          <cell r="BT27">
            <v>640.89990234375</v>
          </cell>
          <cell r="BU27">
            <v>640.89990234375</v>
          </cell>
          <cell r="BV27">
            <v>0</v>
          </cell>
          <cell r="BW27" t="str">
            <v>3.Частный жилищный фонд</v>
          </cell>
          <cell r="BX27">
            <v>36</v>
          </cell>
          <cell r="BY27">
            <v>0</v>
          </cell>
          <cell r="BZ27" t="str">
            <v>2-я</v>
          </cell>
          <cell r="CA27">
            <v>1</v>
          </cell>
          <cell r="CB27">
            <v>27.01</v>
          </cell>
          <cell r="CC27">
            <v>1</v>
          </cell>
          <cell r="CD27">
            <v>1</v>
          </cell>
          <cell r="CE27">
            <v>1521.8</v>
          </cell>
          <cell r="CF27" t="str">
            <v>ООО "Гранд"</v>
          </cell>
          <cell r="CG27">
            <v>36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38</v>
          </cell>
          <cell r="CN27">
            <v>132.9</v>
          </cell>
          <cell r="CO27">
            <v>0</v>
          </cell>
          <cell r="CP27">
            <v>773.8</v>
          </cell>
          <cell r="CQ27">
            <v>773.7998046875</v>
          </cell>
          <cell r="CR27">
            <v>773.7998046875</v>
          </cell>
          <cell r="CS27">
            <v>0</v>
          </cell>
          <cell r="CT27">
            <v>36</v>
          </cell>
          <cell r="CU27">
            <v>0</v>
          </cell>
          <cell r="CV27">
            <v>28</v>
          </cell>
          <cell r="CW27">
            <v>0</v>
          </cell>
          <cell r="CX27">
            <v>1</v>
          </cell>
          <cell r="CY27">
            <v>1</v>
          </cell>
          <cell r="CZ27">
            <v>7113</v>
          </cell>
          <cell r="DA27" t="str">
            <v>Демский</v>
          </cell>
          <cell r="DB27" t="str">
            <v>3.Сборные ж/б панели</v>
          </cell>
          <cell r="DC27">
            <v>7113</v>
          </cell>
          <cell r="DD27">
            <v>7113</v>
          </cell>
          <cell r="DE27">
            <v>7113</v>
          </cell>
          <cell r="DF27">
            <v>7113</v>
          </cell>
          <cell r="DG27">
            <v>7113</v>
          </cell>
          <cell r="DH27">
            <v>7113</v>
          </cell>
          <cell r="DI27">
            <v>7113</v>
          </cell>
          <cell r="DJ27">
            <v>7113</v>
          </cell>
          <cell r="DK27">
            <v>0</v>
          </cell>
          <cell r="DL27">
            <v>0</v>
          </cell>
          <cell r="DM27">
            <v>2058626</v>
          </cell>
          <cell r="DN27">
            <v>3</v>
          </cell>
          <cell r="DO27">
            <v>3</v>
          </cell>
          <cell r="DP27" t="str">
            <v>УЖХ</v>
          </cell>
          <cell r="DQ27">
            <v>39388</v>
          </cell>
          <cell r="DR27">
            <v>0</v>
          </cell>
          <cell r="DS27">
            <v>36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 t="str">
            <v>3.Зависимая схема</v>
          </cell>
          <cell r="EE27" t="str">
            <v>Верхний</v>
          </cell>
          <cell r="EF27">
            <v>0</v>
          </cell>
          <cell r="EG27">
            <v>0</v>
          </cell>
          <cell r="EH27">
            <v>0</v>
          </cell>
          <cell r="EI27">
            <v>1716</v>
          </cell>
          <cell r="EJ27">
            <v>132</v>
          </cell>
          <cell r="EK27">
            <v>659.4</v>
          </cell>
          <cell r="EL27">
            <v>659.39990234375</v>
          </cell>
          <cell r="EM27">
            <v>10.8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12.5</v>
          </cell>
          <cell r="FG27">
            <v>12.5</v>
          </cell>
          <cell r="FH27" t="str">
            <v>С УЛК (ЖЭУ)</v>
          </cell>
          <cell r="FI27">
            <v>44713</v>
          </cell>
          <cell r="FJ27">
            <v>15477</v>
          </cell>
          <cell r="FK27">
            <v>15477</v>
          </cell>
          <cell r="FL27">
            <v>2298</v>
          </cell>
          <cell r="FM27">
            <v>78.92</v>
          </cell>
          <cell r="FN27">
            <v>3813.48</v>
          </cell>
          <cell r="FO27">
            <v>11440.44</v>
          </cell>
        </row>
        <row r="28">
          <cell r="AI28" t="str">
            <v>Ул. Дагестанская дом 9</v>
          </cell>
          <cell r="AJ28">
            <v>11440.4375</v>
          </cell>
          <cell r="AK28">
            <v>1534.5</v>
          </cell>
          <cell r="AL28">
            <v>1019.2</v>
          </cell>
          <cell r="AM28">
            <v>3</v>
          </cell>
          <cell r="AN28">
            <v>3</v>
          </cell>
          <cell r="AO28" t="str">
            <v>АО УЖХ Демского района</v>
          </cell>
          <cell r="AP28">
            <v>1398</v>
          </cell>
          <cell r="AQ28">
            <v>134.30000000000001</v>
          </cell>
          <cell r="AR28">
            <v>124.5</v>
          </cell>
          <cell r="AS28">
            <v>6.6</v>
          </cell>
          <cell r="AT28">
            <v>36</v>
          </cell>
          <cell r="AU28">
            <v>3</v>
          </cell>
          <cell r="AV28">
            <v>83</v>
          </cell>
          <cell r="AW28">
            <v>0</v>
          </cell>
          <cell r="AX28">
            <v>0</v>
          </cell>
          <cell r="AY28">
            <v>0</v>
          </cell>
          <cell r="AZ28">
            <v>1291.4000000000001</v>
          </cell>
          <cell r="BA28">
            <v>1637.1</v>
          </cell>
          <cell r="BB28">
            <v>1637.099609375</v>
          </cell>
          <cell r="BC28" t="str">
            <v>Управляющая компания</v>
          </cell>
          <cell r="BD28" t="str">
            <v>1. Жилой дом</v>
          </cell>
          <cell r="BE28">
            <v>52.6</v>
          </cell>
          <cell r="BF28" t="str">
            <v>2.Чёрный</v>
          </cell>
          <cell r="BG28">
            <v>52.5999755859375</v>
          </cell>
          <cell r="BH28" t="str">
            <v>3.Водяной</v>
          </cell>
          <cell r="BI28" t="str">
            <v>МУП УИС</v>
          </cell>
          <cell r="BJ28" t="str">
            <v>1. Чугун</v>
          </cell>
          <cell r="BK28">
            <v>52.5999755859375</v>
          </cell>
          <cell r="BL28" t="str">
            <v>8.Сборные ж/б</v>
          </cell>
          <cell r="BM28">
            <v>21186</v>
          </cell>
          <cell r="BN28">
            <v>36</v>
          </cell>
          <cell r="BO28" t="str">
            <v>Оборудован</v>
          </cell>
          <cell r="BP28" t="str">
            <v>1.Абсоцемент(шифер)</v>
          </cell>
          <cell r="BQ28" t="str">
            <v>1.Скатная</v>
          </cell>
          <cell r="BR28">
            <v>833</v>
          </cell>
          <cell r="BS28">
            <v>640.9</v>
          </cell>
          <cell r="BT28">
            <v>640.89990234375</v>
          </cell>
          <cell r="BU28">
            <v>640.89990234375</v>
          </cell>
          <cell r="BV28">
            <v>0</v>
          </cell>
          <cell r="BW28" t="str">
            <v>3.Частный жилищный фонд</v>
          </cell>
          <cell r="BX28">
            <v>36</v>
          </cell>
          <cell r="BY28">
            <v>0</v>
          </cell>
          <cell r="BZ28" t="str">
            <v>2-я</v>
          </cell>
          <cell r="CA28">
            <v>1</v>
          </cell>
          <cell r="CB28">
            <v>27.01</v>
          </cell>
          <cell r="CC28">
            <v>1</v>
          </cell>
          <cell r="CD28">
            <v>1</v>
          </cell>
          <cell r="CE28">
            <v>1532.3</v>
          </cell>
          <cell r="CF28" t="str">
            <v>ООО "Гранд"</v>
          </cell>
          <cell r="CG28">
            <v>33</v>
          </cell>
          <cell r="CH28">
            <v>3</v>
          </cell>
          <cell r="CI28">
            <v>3</v>
          </cell>
          <cell r="CJ28">
            <v>3</v>
          </cell>
          <cell r="CK28">
            <v>0</v>
          </cell>
          <cell r="CL28">
            <v>0</v>
          </cell>
          <cell r="CM28">
            <v>36</v>
          </cell>
          <cell r="CN28">
            <v>131.1</v>
          </cell>
          <cell r="CO28">
            <v>0</v>
          </cell>
          <cell r="CP28">
            <v>772</v>
          </cell>
          <cell r="CQ28">
            <v>772</v>
          </cell>
          <cell r="CR28">
            <v>772</v>
          </cell>
          <cell r="CS28">
            <v>0</v>
          </cell>
          <cell r="CT28">
            <v>36</v>
          </cell>
          <cell r="CU28">
            <v>0</v>
          </cell>
          <cell r="CV28">
            <v>27</v>
          </cell>
          <cell r="CW28">
            <v>0</v>
          </cell>
          <cell r="CX28">
            <v>1</v>
          </cell>
          <cell r="CY28">
            <v>1</v>
          </cell>
          <cell r="CZ28">
            <v>5479</v>
          </cell>
          <cell r="DA28" t="str">
            <v>Демский</v>
          </cell>
          <cell r="DB28" t="str">
            <v>3.Сборные ж/б панели</v>
          </cell>
          <cell r="DC28">
            <v>5479</v>
          </cell>
          <cell r="DD28">
            <v>5479</v>
          </cell>
          <cell r="DE28">
            <v>5479</v>
          </cell>
          <cell r="DF28">
            <v>5479</v>
          </cell>
          <cell r="DG28">
            <v>5479</v>
          </cell>
          <cell r="DH28">
            <v>5479</v>
          </cell>
          <cell r="DI28">
            <v>5479</v>
          </cell>
          <cell r="DJ28">
            <v>5479</v>
          </cell>
          <cell r="DK28">
            <v>0</v>
          </cell>
          <cell r="DL28">
            <v>0</v>
          </cell>
          <cell r="DM28">
            <v>2670660</v>
          </cell>
          <cell r="DN28">
            <v>0</v>
          </cell>
          <cell r="DO28">
            <v>0</v>
          </cell>
          <cell r="DP28" t="str">
            <v>УЖХ</v>
          </cell>
          <cell r="DQ28">
            <v>35529</v>
          </cell>
          <cell r="DR28">
            <v>0</v>
          </cell>
          <cell r="DS28">
            <v>36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 t="str">
            <v>3.Зависимая схема</v>
          </cell>
          <cell r="EE28" t="str">
            <v>Верхний</v>
          </cell>
          <cell r="EF28">
            <v>0</v>
          </cell>
          <cell r="EG28">
            <v>0</v>
          </cell>
          <cell r="EH28">
            <v>0</v>
          </cell>
          <cell r="EI28">
            <v>1637.1</v>
          </cell>
          <cell r="EJ28">
            <v>152</v>
          </cell>
          <cell r="EK28">
            <v>995.6</v>
          </cell>
          <cell r="EL28">
            <v>0</v>
          </cell>
          <cell r="EM28">
            <v>21.6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122.2</v>
          </cell>
          <cell r="FB28">
            <v>1</v>
          </cell>
          <cell r="FC28">
            <v>1</v>
          </cell>
          <cell r="FD28">
            <v>0</v>
          </cell>
          <cell r="FE28">
            <v>0</v>
          </cell>
          <cell r="FF28">
            <v>17.36</v>
          </cell>
          <cell r="FG28">
            <v>17.3599853515625</v>
          </cell>
          <cell r="FH28" t="str">
            <v>С УЛК (ЖЭУ)</v>
          </cell>
          <cell r="FI28">
            <v>42930</v>
          </cell>
          <cell r="FJ28">
            <v>15477</v>
          </cell>
          <cell r="FK28">
            <v>15477</v>
          </cell>
          <cell r="FL28">
            <v>2306.5</v>
          </cell>
          <cell r="FM28">
            <v>78.92</v>
          </cell>
          <cell r="FN28">
            <v>3813.48</v>
          </cell>
          <cell r="FO28">
            <v>11440.44</v>
          </cell>
        </row>
        <row r="29">
          <cell r="AI29" t="str">
            <v>Ул. Дагестанская дом 9/1</v>
          </cell>
          <cell r="AJ29">
            <v>11440.4375</v>
          </cell>
          <cell r="AK29">
            <v>1526.6</v>
          </cell>
          <cell r="AL29">
            <v>902.4</v>
          </cell>
          <cell r="AM29">
            <v>1</v>
          </cell>
          <cell r="AN29">
            <v>1</v>
          </cell>
          <cell r="AO29" t="str">
            <v>АО УЖХ Демского района</v>
          </cell>
          <cell r="AP29">
            <v>1526</v>
          </cell>
          <cell r="AQ29">
            <v>0</v>
          </cell>
          <cell r="AR29">
            <v>61.2</v>
          </cell>
          <cell r="AS29">
            <v>38.9</v>
          </cell>
          <cell r="AT29">
            <v>20</v>
          </cell>
          <cell r="AU29">
            <v>5</v>
          </cell>
          <cell r="AV29">
            <v>57</v>
          </cell>
          <cell r="AW29">
            <v>0</v>
          </cell>
          <cell r="AX29">
            <v>0</v>
          </cell>
          <cell r="AY29">
            <v>234.5</v>
          </cell>
          <cell r="AZ29">
            <v>405.5</v>
          </cell>
          <cell r="BA29">
            <v>400.2</v>
          </cell>
          <cell r="BB29">
            <v>400.199951171875</v>
          </cell>
          <cell r="BC29" t="str">
            <v>Управляющая компания</v>
          </cell>
          <cell r="BD29" t="str">
            <v>1. Жилой дом</v>
          </cell>
          <cell r="BE29">
            <v>26.2</v>
          </cell>
          <cell r="BF29" t="str">
            <v>2.Чёрный</v>
          </cell>
          <cell r="BG29" t="str">
            <v>1.Оцинкованный</v>
          </cell>
          <cell r="BH29" t="str">
            <v>3.Водяной</v>
          </cell>
          <cell r="BI29" t="str">
            <v>МУП УИС</v>
          </cell>
          <cell r="BJ29" t="str">
            <v>1. Чугун</v>
          </cell>
          <cell r="BK29">
            <v>26.199996948242188</v>
          </cell>
          <cell r="BL29" t="str">
            <v>2.Кирпич</v>
          </cell>
          <cell r="BM29">
            <v>33239</v>
          </cell>
          <cell r="BN29">
            <v>33239</v>
          </cell>
          <cell r="BO29" t="str">
            <v>Оборудован</v>
          </cell>
          <cell r="BP29" t="str">
            <v>4.Мягк/рулонная</v>
          </cell>
          <cell r="BQ29" t="str">
            <v>2.Плоская</v>
          </cell>
          <cell r="BR29">
            <v>759</v>
          </cell>
          <cell r="BS29">
            <v>598.70000000000005</v>
          </cell>
          <cell r="BT29">
            <v>234.5</v>
          </cell>
          <cell r="BU29">
            <v>234.5</v>
          </cell>
          <cell r="BV29">
            <v>0</v>
          </cell>
          <cell r="BW29" t="str">
            <v>3.Частный жилищный фонд</v>
          </cell>
          <cell r="BX29">
            <v>20</v>
          </cell>
          <cell r="BY29">
            <v>0</v>
          </cell>
          <cell r="BZ29" t="str">
            <v>2-я</v>
          </cell>
          <cell r="CA29">
            <v>1</v>
          </cell>
          <cell r="CB29">
            <v>27.01</v>
          </cell>
          <cell r="CC29">
            <v>27.009994506835938</v>
          </cell>
          <cell r="CD29">
            <v>1526</v>
          </cell>
          <cell r="CE29">
            <v>1526</v>
          </cell>
          <cell r="CF29" t="str">
            <v>ООО "Гранд"</v>
          </cell>
          <cell r="CG29">
            <v>20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1</v>
          </cell>
          <cell r="CM29">
            <v>21</v>
          </cell>
          <cell r="CN29">
            <v>100.1</v>
          </cell>
          <cell r="CO29">
            <v>100.1</v>
          </cell>
          <cell r="CP29">
            <v>464.3</v>
          </cell>
          <cell r="CQ29">
            <v>464.2998046875</v>
          </cell>
          <cell r="CR29">
            <v>464.2998046875</v>
          </cell>
          <cell r="CS29">
            <v>1</v>
          </cell>
          <cell r="CT29">
            <v>20</v>
          </cell>
          <cell r="CU29">
            <v>0</v>
          </cell>
          <cell r="CV29">
            <v>18</v>
          </cell>
          <cell r="CW29">
            <v>14</v>
          </cell>
          <cell r="CX29">
            <v>1</v>
          </cell>
          <cell r="CY29">
            <v>1</v>
          </cell>
          <cell r="CZ29">
            <v>8116</v>
          </cell>
          <cell r="DA29" t="str">
            <v>Демский</v>
          </cell>
          <cell r="DB29" t="str">
            <v>3.Сборные ж/б панели</v>
          </cell>
          <cell r="DC29">
            <v>8116</v>
          </cell>
          <cell r="DD29">
            <v>1</v>
          </cell>
          <cell r="DE29">
            <v>13367</v>
          </cell>
          <cell r="DF29" t="str">
            <v>Пластинчатый</v>
          </cell>
          <cell r="DG29" t="str">
            <v>ГВС</v>
          </cell>
          <cell r="DH29" t="str">
            <v>МУП УИС</v>
          </cell>
          <cell r="DI29">
            <v>13367</v>
          </cell>
          <cell r="DJ29">
            <v>13367</v>
          </cell>
          <cell r="DK29">
            <v>13367</v>
          </cell>
          <cell r="DL29">
            <v>13367</v>
          </cell>
          <cell r="DM29">
            <v>3379337</v>
          </cell>
          <cell r="DN29">
            <v>1</v>
          </cell>
          <cell r="DO29" t="str">
            <v>ГВС</v>
          </cell>
          <cell r="DP29" t="str">
            <v>УЖХ</v>
          </cell>
          <cell r="DQ29">
            <v>39917</v>
          </cell>
          <cell r="DR29">
            <v>0</v>
          </cell>
          <cell r="DS29">
            <v>0</v>
          </cell>
          <cell r="DT29">
            <v>20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 t="str">
            <v>3.Зависимая схема</v>
          </cell>
          <cell r="EE29" t="str">
            <v>Нижний</v>
          </cell>
          <cell r="EF29">
            <v>0</v>
          </cell>
          <cell r="EG29">
            <v>0</v>
          </cell>
          <cell r="EH29">
            <v>0</v>
          </cell>
          <cell r="EI29">
            <v>400.2</v>
          </cell>
          <cell r="EJ29">
            <v>5.9</v>
          </cell>
          <cell r="EK29">
            <v>282</v>
          </cell>
          <cell r="EL29">
            <v>282</v>
          </cell>
          <cell r="EM29">
            <v>117.6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7.13</v>
          </cell>
          <cell r="FG29">
            <v>7.1299972534179688</v>
          </cell>
          <cell r="FH29">
            <v>7.1299972534179688</v>
          </cell>
          <cell r="FI29">
            <v>43466</v>
          </cell>
          <cell r="FJ29">
            <v>15477</v>
          </cell>
          <cell r="FK29">
            <v>15477</v>
          </cell>
          <cell r="FL29">
            <v>2225.4</v>
          </cell>
          <cell r="FM29">
            <v>78.92</v>
          </cell>
          <cell r="FN29">
            <v>540.20000000000005</v>
          </cell>
          <cell r="FO29">
            <v>1620.6000000000001</v>
          </cell>
        </row>
        <row r="30">
          <cell r="AI30" t="str">
            <v>Ул. Дагестанская дом 11</v>
          </cell>
          <cell r="AJ30">
            <v>1620.599609375</v>
          </cell>
          <cell r="AK30">
            <v>1545.8</v>
          </cell>
          <cell r="AL30">
            <v>1029.5</v>
          </cell>
          <cell r="AM30">
            <v>3</v>
          </cell>
          <cell r="AN30">
            <v>3</v>
          </cell>
          <cell r="AO30" t="str">
            <v>АО УЖХ Демского района</v>
          </cell>
          <cell r="AP30">
            <v>1455.8</v>
          </cell>
          <cell r="AQ30">
            <v>89.7</v>
          </cell>
          <cell r="AR30">
            <v>148.19999999999999</v>
          </cell>
          <cell r="AS30">
            <v>0</v>
          </cell>
          <cell r="AT30">
            <v>36</v>
          </cell>
          <cell r="AU30">
            <v>3</v>
          </cell>
          <cell r="AV30">
            <v>68</v>
          </cell>
          <cell r="AW30">
            <v>0</v>
          </cell>
          <cell r="AX30">
            <v>0</v>
          </cell>
          <cell r="AY30">
            <v>0</v>
          </cell>
          <cell r="AZ30">
            <v>841</v>
          </cell>
          <cell r="BA30">
            <v>2459.6999999999998</v>
          </cell>
          <cell r="BB30">
            <v>2459.69921875</v>
          </cell>
          <cell r="BC30" t="str">
            <v>Управляющая компания</v>
          </cell>
          <cell r="BD30" t="str">
            <v>1. Жилой дом</v>
          </cell>
          <cell r="BE30">
            <v>52.6</v>
          </cell>
          <cell r="BF30" t="str">
            <v>2.Чёрный</v>
          </cell>
          <cell r="BG30">
            <v>52.5999755859375</v>
          </cell>
          <cell r="BH30" t="str">
            <v>3.Водяной</v>
          </cell>
          <cell r="BI30" t="str">
            <v>МУП УИС</v>
          </cell>
          <cell r="BJ30" t="str">
            <v>1. Чугун</v>
          </cell>
          <cell r="BK30">
            <v>52.5999755859375</v>
          </cell>
          <cell r="BL30" t="str">
            <v>8.Сборные ж/б</v>
          </cell>
          <cell r="BM30">
            <v>21186</v>
          </cell>
          <cell r="BN30">
            <v>36</v>
          </cell>
          <cell r="BO30" t="str">
            <v>Оборудован</v>
          </cell>
          <cell r="BP30" t="str">
            <v>1.Абсоцемент(шифер)</v>
          </cell>
          <cell r="BQ30" t="str">
            <v>1.Скатная</v>
          </cell>
          <cell r="BR30">
            <v>826</v>
          </cell>
          <cell r="BS30">
            <v>648.6</v>
          </cell>
          <cell r="BT30">
            <v>648.599609375</v>
          </cell>
          <cell r="BU30">
            <v>648.599609375</v>
          </cell>
          <cell r="BV30">
            <v>0</v>
          </cell>
          <cell r="BW30" t="str">
            <v>3.Частный жилищный фонд</v>
          </cell>
          <cell r="BX30">
            <v>36</v>
          </cell>
          <cell r="BY30">
            <v>0</v>
          </cell>
          <cell r="BZ30" t="str">
            <v>2-я</v>
          </cell>
          <cell r="CA30">
            <v>1</v>
          </cell>
          <cell r="CB30">
            <v>27.01</v>
          </cell>
          <cell r="CC30">
            <v>1</v>
          </cell>
          <cell r="CD30">
            <v>1</v>
          </cell>
          <cell r="CE30">
            <v>1504.2</v>
          </cell>
          <cell r="CF30" t="str">
            <v>ООО "Гранд"</v>
          </cell>
          <cell r="CG30">
            <v>33</v>
          </cell>
          <cell r="CH30">
            <v>3</v>
          </cell>
          <cell r="CI30">
            <v>3</v>
          </cell>
          <cell r="CJ30">
            <v>3</v>
          </cell>
          <cell r="CK30">
            <v>0</v>
          </cell>
          <cell r="CL30">
            <v>0</v>
          </cell>
          <cell r="CM30">
            <v>37</v>
          </cell>
          <cell r="CN30">
            <v>148.19999999999999</v>
          </cell>
          <cell r="CO30">
            <v>0</v>
          </cell>
          <cell r="CP30">
            <v>796.8</v>
          </cell>
          <cell r="CQ30">
            <v>796.7998046875</v>
          </cell>
          <cell r="CR30">
            <v>796.7998046875</v>
          </cell>
          <cell r="CS30">
            <v>0</v>
          </cell>
          <cell r="CT30">
            <v>36</v>
          </cell>
          <cell r="CU30">
            <v>0</v>
          </cell>
          <cell r="CV30">
            <v>29</v>
          </cell>
          <cell r="CW30">
            <v>0</v>
          </cell>
          <cell r="CX30">
            <v>1</v>
          </cell>
          <cell r="CY30">
            <v>1</v>
          </cell>
          <cell r="CZ30">
            <v>5546</v>
          </cell>
          <cell r="DA30" t="str">
            <v>Демский</v>
          </cell>
          <cell r="DB30" t="str">
            <v>3.Сборные ж/б панели</v>
          </cell>
          <cell r="DC30">
            <v>5546</v>
          </cell>
          <cell r="DD30">
            <v>5546</v>
          </cell>
          <cell r="DE30">
            <v>5546</v>
          </cell>
          <cell r="DF30">
            <v>5546</v>
          </cell>
          <cell r="DG30">
            <v>5546</v>
          </cell>
          <cell r="DH30">
            <v>5546</v>
          </cell>
          <cell r="DI30">
            <v>5546</v>
          </cell>
          <cell r="DJ30">
            <v>5546</v>
          </cell>
          <cell r="DK30">
            <v>0</v>
          </cell>
          <cell r="DL30">
            <v>0</v>
          </cell>
          <cell r="DM30">
            <v>2138842</v>
          </cell>
          <cell r="DN30">
            <v>0</v>
          </cell>
          <cell r="DO30">
            <v>0</v>
          </cell>
          <cell r="DP30" t="str">
            <v>УЖХ</v>
          </cell>
          <cell r="DQ30">
            <v>35704</v>
          </cell>
          <cell r="DR30">
            <v>0</v>
          </cell>
          <cell r="DS30">
            <v>35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 t="str">
            <v>3.Зависимая схема</v>
          </cell>
          <cell r="EE30" t="str">
            <v>Верхний</v>
          </cell>
          <cell r="EF30">
            <v>0</v>
          </cell>
          <cell r="EG30">
            <v>0</v>
          </cell>
          <cell r="EH30">
            <v>0</v>
          </cell>
          <cell r="EI30">
            <v>2459.6999999999998</v>
          </cell>
          <cell r="EJ30">
            <v>145.80000000000001</v>
          </cell>
          <cell r="EK30">
            <v>513.29999999999995</v>
          </cell>
          <cell r="EL30">
            <v>0</v>
          </cell>
          <cell r="EM30">
            <v>104.7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67.2</v>
          </cell>
          <cell r="FB30">
            <v>1</v>
          </cell>
          <cell r="FC30">
            <v>1</v>
          </cell>
          <cell r="FD30">
            <v>0</v>
          </cell>
          <cell r="FE30">
            <v>0</v>
          </cell>
          <cell r="FF30">
            <v>17.5</v>
          </cell>
          <cell r="FG30">
            <v>2</v>
          </cell>
          <cell r="FH30">
            <v>2</v>
          </cell>
          <cell r="FI30">
            <v>43868</v>
          </cell>
          <cell r="FJ30">
            <v>15477</v>
          </cell>
          <cell r="FK30">
            <v>0</v>
          </cell>
          <cell r="FL30">
            <v>2342.6</v>
          </cell>
          <cell r="FM30">
            <v>78.92</v>
          </cell>
          <cell r="FN30">
            <v>3813.48</v>
          </cell>
          <cell r="FO30">
            <v>11440.44</v>
          </cell>
        </row>
        <row r="31">
          <cell r="AI31" t="str">
            <v>Ул. Дагестанская дом 11/1</v>
          </cell>
          <cell r="AJ31">
            <v>11440.4375</v>
          </cell>
          <cell r="AK31">
            <v>6091.9</v>
          </cell>
          <cell r="AL31">
            <v>3547.1</v>
          </cell>
          <cell r="AM31">
            <v>3</v>
          </cell>
          <cell r="AN31">
            <v>3</v>
          </cell>
          <cell r="AO31" t="str">
            <v>АО УЖХ Демского района</v>
          </cell>
          <cell r="AP31">
            <v>6091.9</v>
          </cell>
          <cell r="AQ31">
            <v>0</v>
          </cell>
          <cell r="AR31">
            <v>221.8</v>
          </cell>
          <cell r="AS31">
            <v>472.7</v>
          </cell>
          <cell r="AT31">
            <v>88</v>
          </cell>
          <cell r="AU31">
            <v>6</v>
          </cell>
          <cell r="AV31">
            <v>201</v>
          </cell>
          <cell r="AW31">
            <v>0</v>
          </cell>
          <cell r="AX31">
            <v>0</v>
          </cell>
          <cell r="AY31">
            <v>795.4</v>
          </cell>
          <cell r="AZ31">
            <v>2767.2</v>
          </cell>
          <cell r="BA31">
            <v>1909.3</v>
          </cell>
          <cell r="BB31">
            <v>1909.2998046875</v>
          </cell>
          <cell r="BC31" t="str">
            <v>Управляющая компания</v>
          </cell>
          <cell r="BD31" t="str">
            <v>1. Жилой дом</v>
          </cell>
          <cell r="BE31">
            <v>20.6</v>
          </cell>
          <cell r="BF31" t="str">
            <v>2.Чёрный</v>
          </cell>
          <cell r="BG31" t="str">
            <v>2.Чёрный</v>
          </cell>
          <cell r="BH31" t="str">
            <v>3.Водяной</v>
          </cell>
          <cell r="BI31" t="str">
            <v>МУП УИС</v>
          </cell>
          <cell r="BJ31" t="str">
            <v>1. Чугун</v>
          </cell>
          <cell r="BK31">
            <v>3</v>
          </cell>
          <cell r="BL31" t="str">
            <v>2.Кирпич</v>
          </cell>
          <cell r="BM31">
            <v>35796</v>
          </cell>
          <cell r="BN31">
            <v>35796</v>
          </cell>
          <cell r="BO31" t="str">
            <v>Оборудован</v>
          </cell>
          <cell r="BP31" t="str">
            <v>4.Мягк/рулонная</v>
          </cell>
          <cell r="BQ31" t="str">
            <v>2.Плоская</v>
          </cell>
          <cell r="BR31">
            <v>1862</v>
          </cell>
          <cell r="BS31">
            <v>691.5</v>
          </cell>
          <cell r="BT31">
            <v>152.1</v>
          </cell>
          <cell r="BU31">
            <v>1162</v>
          </cell>
          <cell r="BV31">
            <v>1162</v>
          </cell>
          <cell r="BW31" t="str">
            <v>3.Частный жилищный фонд</v>
          </cell>
          <cell r="BX31">
            <v>1162</v>
          </cell>
          <cell r="BY31">
            <v>90</v>
          </cell>
          <cell r="BZ31" t="str">
            <v>2-я</v>
          </cell>
          <cell r="CA31">
            <v>1</v>
          </cell>
          <cell r="CB31">
            <v>27.01</v>
          </cell>
          <cell r="CC31">
            <v>27.009994506835938</v>
          </cell>
          <cell r="CD31">
            <v>6204.1</v>
          </cell>
          <cell r="CE31">
            <v>6204.09765625</v>
          </cell>
          <cell r="CF31" t="str">
            <v>ООО "Сфера"</v>
          </cell>
          <cell r="CG31">
            <v>90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1</v>
          </cell>
          <cell r="CM31">
            <v>90</v>
          </cell>
          <cell r="CN31">
            <v>694.5</v>
          </cell>
          <cell r="CO31">
            <v>694.5</v>
          </cell>
          <cell r="CP31">
            <v>2395.9</v>
          </cell>
          <cell r="CQ31">
            <v>2395.8984375</v>
          </cell>
          <cell r="CR31">
            <v>2395.8984375</v>
          </cell>
          <cell r="CS31">
            <v>2</v>
          </cell>
          <cell r="CT31">
            <v>90</v>
          </cell>
          <cell r="CU31">
            <v>0</v>
          </cell>
          <cell r="CV31">
            <v>75</v>
          </cell>
          <cell r="CW31">
            <v>77</v>
          </cell>
          <cell r="CX31">
            <v>0</v>
          </cell>
          <cell r="CY31">
            <v>0</v>
          </cell>
          <cell r="CZ31">
            <v>33764</v>
          </cell>
          <cell r="DA31" t="str">
            <v>Демский</v>
          </cell>
          <cell r="DB31" t="str">
            <v>3.Сборные ж/б панели</v>
          </cell>
          <cell r="DC31">
            <v>33764</v>
          </cell>
          <cell r="DD31">
            <v>33764</v>
          </cell>
          <cell r="DE31">
            <v>33764</v>
          </cell>
          <cell r="DF31">
            <v>33764</v>
          </cell>
          <cell r="DG31">
            <v>33764</v>
          </cell>
          <cell r="DH31">
            <v>33764</v>
          </cell>
          <cell r="DI31">
            <v>33764</v>
          </cell>
          <cell r="DJ31" t="str">
            <v>АО УЖХ Демского района</v>
          </cell>
          <cell r="DK31">
            <v>33764</v>
          </cell>
          <cell r="DL31">
            <v>1</v>
          </cell>
          <cell r="DM31">
            <v>14823332</v>
          </cell>
          <cell r="DN31">
            <v>3</v>
          </cell>
          <cell r="DO31" t="str">
            <v>ГВС</v>
          </cell>
          <cell r="DP31" t="str">
            <v>УЖХ</v>
          </cell>
          <cell r="DQ31">
            <v>40057</v>
          </cell>
          <cell r="DR31">
            <v>0</v>
          </cell>
          <cell r="DS31">
            <v>0</v>
          </cell>
          <cell r="DT31">
            <v>90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 t="str">
            <v>4. Независимая схема</v>
          </cell>
          <cell r="EE31" t="str">
            <v>Нижний</v>
          </cell>
          <cell r="EF31">
            <v>0</v>
          </cell>
          <cell r="EG31">
            <v>0</v>
          </cell>
          <cell r="EH31">
            <v>0</v>
          </cell>
          <cell r="EI31">
            <v>1126.2</v>
          </cell>
          <cell r="EJ31">
            <v>453</v>
          </cell>
          <cell r="EK31">
            <v>1744.5</v>
          </cell>
          <cell r="EL31">
            <v>1744.5</v>
          </cell>
          <cell r="EM31">
            <v>544.70000000000005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783.1</v>
          </cell>
          <cell r="EV31">
            <v>1</v>
          </cell>
          <cell r="EW31">
            <v>1</v>
          </cell>
          <cell r="EX31">
            <v>0</v>
          </cell>
          <cell r="EY31">
            <v>0</v>
          </cell>
          <cell r="EZ31">
            <v>0</v>
          </cell>
          <cell r="FA31">
            <v>25</v>
          </cell>
          <cell r="FB31">
            <v>1</v>
          </cell>
          <cell r="FC31">
            <v>1</v>
          </cell>
          <cell r="FD31">
            <v>0</v>
          </cell>
          <cell r="FE31">
            <v>0</v>
          </cell>
          <cell r="FF31">
            <v>20.420000000000002</v>
          </cell>
          <cell r="FG31">
            <v>2</v>
          </cell>
          <cell r="FH31">
            <v>2</v>
          </cell>
          <cell r="FI31">
            <v>43466</v>
          </cell>
          <cell r="FJ31">
            <v>15477</v>
          </cell>
          <cell r="FK31">
            <v>15477</v>
          </cell>
          <cell r="FL31">
            <v>8121.2</v>
          </cell>
          <cell r="FM31">
            <v>78.92</v>
          </cell>
          <cell r="FN31">
            <v>2376.88</v>
          </cell>
          <cell r="FO31">
            <v>2376.88</v>
          </cell>
        </row>
        <row r="32">
          <cell r="AI32" t="str">
            <v>Ул. Дагестанская дом 13</v>
          </cell>
          <cell r="AJ32">
            <v>2376.87890625</v>
          </cell>
          <cell r="AK32">
            <v>1541.9</v>
          </cell>
          <cell r="AL32">
            <v>1016.4</v>
          </cell>
          <cell r="AM32">
            <v>3</v>
          </cell>
          <cell r="AN32">
            <v>3</v>
          </cell>
          <cell r="AO32" t="str">
            <v>АО УЖХ Демского района</v>
          </cell>
          <cell r="AP32">
            <v>1261</v>
          </cell>
          <cell r="AQ32">
            <v>275.5</v>
          </cell>
          <cell r="AR32">
            <v>145.69999999999999</v>
          </cell>
          <cell r="AS32">
            <v>0</v>
          </cell>
          <cell r="AT32">
            <v>36</v>
          </cell>
          <cell r="AU32">
            <v>3</v>
          </cell>
          <cell r="AV32">
            <v>82</v>
          </cell>
          <cell r="AW32">
            <v>0</v>
          </cell>
          <cell r="AX32">
            <v>0</v>
          </cell>
          <cell r="AY32">
            <v>0</v>
          </cell>
          <cell r="AZ32">
            <v>595.66999999999996</v>
          </cell>
          <cell r="BA32">
            <v>1929</v>
          </cell>
          <cell r="BB32">
            <v>1929</v>
          </cell>
          <cell r="BC32" t="str">
            <v>Управляющая компания</v>
          </cell>
          <cell r="BD32" t="str">
            <v>1. Жилой дом</v>
          </cell>
          <cell r="BE32">
            <v>51.8</v>
          </cell>
          <cell r="BF32" t="str">
            <v>2.Чёрный</v>
          </cell>
          <cell r="BG32">
            <v>51.79998779296875</v>
          </cell>
          <cell r="BH32" t="str">
            <v>3.Водяной</v>
          </cell>
          <cell r="BI32" t="str">
            <v>МУП УИС</v>
          </cell>
          <cell r="BJ32" t="str">
            <v>1. Чугун</v>
          </cell>
          <cell r="BK32">
            <v>51.79998779296875</v>
          </cell>
          <cell r="BL32" t="str">
            <v>8.Сборные ж/б</v>
          </cell>
          <cell r="BM32">
            <v>21551</v>
          </cell>
          <cell r="BN32">
            <v>36</v>
          </cell>
          <cell r="BO32" t="str">
            <v>Оборудован</v>
          </cell>
          <cell r="BP32" t="str">
            <v>1.Абсоцемент(шифер)</v>
          </cell>
          <cell r="BQ32" t="str">
            <v>1.Скатная</v>
          </cell>
          <cell r="BR32">
            <v>819.8</v>
          </cell>
          <cell r="BS32">
            <v>630.6</v>
          </cell>
          <cell r="BT32">
            <v>630.599609375</v>
          </cell>
          <cell r="BU32">
            <v>630.599609375</v>
          </cell>
          <cell r="BV32">
            <v>0</v>
          </cell>
          <cell r="BW32" t="str">
            <v>3.Частный жилищный фонд</v>
          </cell>
          <cell r="BX32">
            <v>36</v>
          </cell>
          <cell r="BY32">
            <v>0</v>
          </cell>
          <cell r="BZ32" t="str">
            <v>2-я</v>
          </cell>
          <cell r="CA32">
            <v>1</v>
          </cell>
          <cell r="CB32">
            <v>27.01</v>
          </cell>
          <cell r="CC32">
            <v>1</v>
          </cell>
          <cell r="CD32">
            <v>1</v>
          </cell>
          <cell r="CE32">
            <v>1536.5</v>
          </cell>
          <cell r="CF32" t="str">
            <v>ООО "Гранд"</v>
          </cell>
          <cell r="CG32">
            <v>30</v>
          </cell>
          <cell r="CH32">
            <v>6</v>
          </cell>
          <cell r="CI32">
            <v>6</v>
          </cell>
          <cell r="CJ32">
            <v>6</v>
          </cell>
          <cell r="CK32">
            <v>0</v>
          </cell>
          <cell r="CL32">
            <v>0</v>
          </cell>
          <cell r="CM32">
            <v>36</v>
          </cell>
          <cell r="CN32">
            <v>145.69999999999999</v>
          </cell>
          <cell r="CO32">
            <v>0</v>
          </cell>
          <cell r="CP32">
            <v>776.3</v>
          </cell>
          <cell r="CQ32">
            <v>776.2998046875</v>
          </cell>
          <cell r="CR32">
            <v>776.2998046875</v>
          </cell>
          <cell r="CS32">
            <v>1</v>
          </cell>
          <cell r="CT32">
            <v>36</v>
          </cell>
          <cell r="CU32">
            <v>0</v>
          </cell>
          <cell r="CV32">
            <v>25</v>
          </cell>
          <cell r="CW32">
            <v>0</v>
          </cell>
          <cell r="CX32">
            <v>1</v>
          </cell>
          <cell r="CY32">
            <v>1</v>
          </cell>
          <cell r="CZ32">
            <v>5171</v>
          </cell>
          <cell r="DA32" t="str">
            <v>Демский</v>
          </cell>
          <cell r="DB32" t="str">
            <v>3.Сборные ж/б панели</v>
          </cell>
          <cell r="DC32">
            <v>5171</v>
          </cell>
          <cell r="DD32">
            <v>5171</v>
          </cell>
          <cell r="DE32">
            <v>5171</v>
          </cell>
          <cell r="DF32">
            <v>5171</v>
          </cell>
          <cell r="DG32">
            <v>5171</v>
          </cell>
          <cell r="DH32">
            <v>5171</v>
          </cell>
          <cell r="DI32">
            <v>5171</v>
          </cell>
          <cell r="DJ32">
            <v>5171</v>
          </cell>
          <cell r="DK32">
            <v>0</v>
          </cell>
          <cell r="DL32">
            <v>0</v>
          </cell>
          <cell r="DM32">
            <v>1994222</v>
          </cell>
          <cell r="DN32">
            <v>0</v>
          </cell>
          <cell r="DO32">
            <v>0</v>
          </cell>
          <cell r="DP32" t="str">
            <v>УЖХ</v>
          </cell>
          <cell r="DQ32">
            <v>35592</v>
          </cell>
          <cell r="DR32">
            <v>0</v>
          </cell>
          <cell r="DS32">
            <v>36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 t="str">
            <v>3.Зависимая схема</v>
          </cell>
          <cell r="EE32" t="str">
            <v>Верхний</v>
          </cell>
          <cell r="EF32">
            <v>0</v>
          </cell>
          <cell r="EG32">
            <v>0</v>
          </cell>
          <cell r="EH32">
            <v>0</v>
          </cell>
          <cell r="EI32">
            <v>1929</v>
          </cell>
          <cell r="EJ32">
            <v>212.07</v>
          </cell>
          <cell r="EK32">
            <v>279.2</v>
          </cell>
          <cell r="EL32">
            <v>0</v>
          </cell>
          <cell r="EM32">
            <v>68.400000000000006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36</v>
          </cell>
          <cell r="FB32">
            <v>1</v>
          </cell>
          <cell r="FC32">
            <v>1</v>
          </cell>
          <cell r="FD32">
            <v>0</v>
          </cell>
          <cell r="FE32">
            <v>0</v>
          </cell>
          <cell r="FF32">
            <v>14</v>
          </cell>
          <cell r="FG32">
            <v>14</v>
          </cell>
          <cell r="FH32">
            <v>14</v>
          </cell>
          <cell r="FI32">
            <v>44013</v>
          </cell>
          <cell r="FJ32">
            <v>15477</v>
          </cell>
          <cell r="FK32">
            <v>0</v>
          </cell>
          <cell r="FL32">
            <v>2318.1999999999998</v>
          </cell>
          <cell r="FM32">
            <v>78.92</v>
          </cell>
          <cell r="FN32">
            <v>3813.48</v>
          </cell>
          <cell r="FO32">
            <v>11440.44</v>
          </cell>
        </row>
        <row r="33">
          <cell r="AI33" t="str">
            <v>Ул. Дагестанская дом 13/1</v>
          </cell>
          <cell r="AJ33">
            <v>11440.4375</v>
          </cell>
          <cell r="AK33">
            <v>7378.1</v>
          </cell>
          <cell r="AL33">
            <v>4858.5</v>
          </cell>
          <cell r="AM33">
            <v>4</v>
          </cell>
          <cell r="AN33">
            <v>4</v>
          </cell>
          <cell r="AO33" t="str">
            <v>АО УЖХ Демского района</v>
          </cell>
          <cell r="AP33">
            <v>7321.7</v>
          </cell>
          <cell r="AQ33">
            <v>60.4</v>
          </cell>
          <cell r="AR33">
            <v>621.20000000000005</v>
          </cell>
          <cell r="AS33">
            <v>337</v>
          </cell>
          <cell r="AT33">
            <v>141</v>
          </cell>
          <cell r="AU33">
            <v>9</v>
          </cell>
          <cell r="AV33">
            <v>396</v>
          </cell>
          <cell r="AW33">
            <v>0</v>
          </cell>
          <cell r="AX33" t="str">
            <v>отказ от услуги</v>
          </cell>
          <cell r="AY33">
            <v>163.4</v>
          </cell>
          <cell r="AZ33">
            <v>2143.4</v>
          </cell>
          <cell r="BA33">
            <v>2699.1</v>
          </cell>
          <cell r="BB33">
            <v>2699.099609375</v>
          </cell>
          <cell r="BC33" t="str">
            <v>Управляющая компания</v>
          </cell>
          <cell r="BD33" t="str">
            <v>1. Жилой дом</v>
          </cell>
          <cell r="BE33">
            <v>24.6</v>
          </cell>
          <cell r="BF33" t="str">
            <v>2.Чёрный</v>
          </cell>
          <cell r="BG33" t="str">
            <v>2.Чёрный</v>
          </cell>
          <cell r="BH33" t="str">
            <v>3.Водяной</v>
          </cell>
          <cell r="BI33" t="str">
            <v>МУП УИС</v>
          </cell>
          <cell r="BJ33" t="str">
            <v>1. Чугун</v>
          </cell>
          <cell r="BK33">
            <v>4</v>
          </cell>
          <cell r="BL33" t="str">
            <v>8.Сборные ж/б</v>
          </cell>
          <cell r="BM33">
            <v>33970</v>
          </cell>
          <cell r="BN33">
            <v>33970</v>
          </cell>
          <cell r="BO33" t="str">
            <v>Оборудован</v>
          </cell>
          <cell r="BP33" t="str">
            <v>4.Мягк/рулонная</v>
          </cell>
          <cell r="BQ33" t="str">
            <v>2.Плоская</v>
          </cell>
          <cell r="BR33">
            <v>1328</v>
          </cell>
          <cell r="BS33">
            <v>1207</v>
          </cell>
          <cell r="BT33">
            <v>1207</v>
          </cell>
          <cell r="BU33">
            <v>1207</v>
          </cell>
          <cell r="BV33">
            <v>0</v>
          </cell>
          <cell r="BW33" t="str">
            <v>3.Частный жилищный фонд</v>
          </cell>
          <cell r="BX33">
            <v>141</v>
          </cell>
          <cell r="BY33">
            <v>0</v>
          </cell>
          <cell r="BZ33" t="str">
            <v>2-я</v>
          </cell>
          <cell r="CA33">
            <v>1</v>
          </cell>
          <cell r="CB33">
            <v>27.01</v>
          </cell>
          <cell r="CC33">
            <v>27.009994506835938</v>
          </cell>
          <cell r="CD33">
            <v>7382.1</v>
          </cell>
          <cell r="CE33">
            <v>7382.09765625</v>
          </cell>
          <cell r="CF33" t="str">
            <v>ООО "Сфера"</v>
          </cell>
          <cell r="CG33">
            <v>140</v>
          </cell>
          <cell r="CH33">
            <v>1</v>
          </cell>
          <cell r="CI33">
            <v>1</v>
          </cell>
          <cell r="CJ33">
            <v>1</v>
          </cell>
          <cell r="CK33">
            <v>0</v>
          </cell>
          <cell r="CL33">
            <v>1</v>
          </cell>
          <cell r="CM33">
            <v>141</v>
          </cell>
          <cell r="CN33">
            <v>958.2</v>
          </cell>
          <cell r="CO33">
            <v>958.2</v>
          </cell>
          <cell r="CP33">
            <v>2165.1999999999998</v>
          </cell>
          <cell r="CQ33">
            <v>2165.19921875</v>
          </cell>
          <cell r="CR33">
            <v>2165.19921875</v>
          </cell>
          <cell r="CS33">
            <v>1</v>
          </cell>
          <cell r="CT33">
            <v>141</v>
          </cell>
          <cell r="CU33">
            <v>0</v>
          </cell>
          <cell r="CV33">
            <v>122</v>
          </cell>
          <cell r="CW33">
            <v>123</v>
          </cell>
          <cell r="CX33">
            <v>1</v>
          </cell>
          <cell r="CY33">
            <v>1</v>
          </cell>
          <cell r="CZ33">
            <v>38327</v>
          </cell>
          <cell r="DA33" t="str">
            <v>Демский</v>
          </cell>
          <cell r="DB33" t="str">
            <v>3.Сборные ж/б панели</v>
          </cell>
          <cell r="DC33">
            <v>38327</v>
          </cell>
          <cell r="DD33">
            <v>38327</v>
          </cell>
          <cell r="DE33">
            <v>38327</v>
          </cell>
          <cell r="DF33">
            <v>38327</v>
          </cell>
          <cell r="DG33">
            <v>38327</v>
          </cell>
          <cell r="DH33">
            <v>38327</v>
          </cell>
          <cell r="DI33">
            <v>38327</v>
          </cell>
          <cell r="DJ33" t="str">
            <v>АО УЖХ Демского района</v>
          </cell>
          <cell r="DK33">
            <v>38327</v>
          </cell>
          <cell r="DL33">
            <v>1</v>
          </cell>
          <cell r="DM33">
            <v>20378507</v>
          </cell>
          <cell r="DN33">
            <v>4</v>
          </cell>
          <cell r="DO33" t="str">
            <v>ГВС</v>
          </cell>
          <cell r="DP33" t="str">
            <v>УЖХ</v>
          </cell>
          <cell r="DQ33">
            <v>33970</v>
          </cell>
          <cell r="DR33">
            <v>0</v>
          </cell>
          <cell r="DS33">
            <v>0</v>
          </cell>
          <cell r="DT33">
            <v>141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 t="str">
            <v>4. Независимая схема</v>
          </cell>
          <cell r="EE33" t="str">
            <v>Нижний</v>
          </cell>
          <cell r="EF33">
            <v>0</v>
          </cell>
          <cell r="EG33">
            <v>0</v>
          </cell>
          <cell r="EH33">
            <v>280</v>
          </cell>
          <cell r="EI33">
            <v>2359.1</v>
          </cell>
          <cell r="EJ33">
            <v>414</v>
          </cell>
          <cell r="EK33">
            <v>1034.5</v>
          </cell>
          <cell r="EL33">
            <v>71.3</v>
          </cell>
          <cell r="EM33">
            <v>541.20000000000005</v>
          </cell>
          <cell r="EN33">
            <v>3</v>
          </cell>
          <cell r="EO33">
            <v>3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60</v>
          </cell>
          <cell r="EV33">
            <v>1</v>
          </cell>
          <cell r="EW33">
            <v>12.5</v>
          </cell>
          <cell r="EX33">
            <v>1</v>
          </cell>
          <cell r="EY33">
            <v>1</v>
          </cell>
          <cell r="EZ33">
            <v>0</v>
          </cell>
          <cell r="FA33">
            <v>69.900000000000006</v>
          </cell>
          <cell r="FB33">
            <v>1</v>
          </cell>
          <cell r="FC33">
            <v>1</v>
          </cell>
          <cell r="FD33">
            <v>0</v>
          </cell>
          <cell r="FE33">
            <v>0</v>
          </cell>
          <cell r="FF33">
            <v>20.5</v>
          </cell>
          <cell r="FG33">
            <v>20.5</v>
          </cell>
          <cell r="FH33" t="str">
            <v>С УЛК (клининг)</v>
          </cell>
          <cell r="FI33">
            <v>44409</v>
          </cell>
          <cell r="FJ33">
            <v>15477</v>
          </cell>
          <cell r="FK33">
            <v>15477</v>
          </cell>
          <cell r="FL33">
            <v>10086.700000000001</v>
          </cell>
          <cell r="FM33">
            <v>78.92</v>
          </cell>
          <cell r="FN33">
            <v>3808.4100000000003</v>
          </cell>
          <cell r="FO33">
            <v>11425.230000000001</v>
          </cell>
        </row>
        <row r="34">
          <cell r="AI34" t="str">
            <v>Ул. Дагестанская дом 13/2</v>
          </cell>
          <cell r="AJ34">
            <v>11425.2265625</v>
          </cell>
          <cell r="AK34">
            <v>3842.2</v>
          </cell>
          <cell r="AL34">
            <v>2488.4</v>
          </cell>
          <cell r="AM34">
            <v>2</v>
          </cell>
          <cell r="AN34">
            <v>2</v>
          </cell>
          <cell r="AO34" t="str">
            <v>АО УЖХ Демского района</v>
          </cell>
          <cell r="AP34">
            <v>3670.2</v>
          </cell>
          <cell r="AQ34">
            <v>170</v>
          </cell>
          <cell r="AR34">
            <v>154.1</v>
          </cell>
          <cell r="AS34">
            <v>491</v>
          </cell>
          <cell r="AT34">
            <v>72</v>
          </cell>
          <cell r="AU34">
            <v>9</v>
          </cell>
          <cell r="AV34">
            <v>210</v>
          </cell>
          <cell r="AW34">
            <v>0</v>
          </cell>
          <cell r="AX34" t="str">
            <v>отказ от услуги</v>
          </cell>
          <cell r="AY34">
            <v>0</v>
          </cell>
          <cell r="AZ34">
            <v>1077</v>
          </cell>
          <cell r="BA34">
            <v>1504</v>
          </cell>
          <cell r="BB34">
            <v>1504</v>
          </cell>
          <cell r="BC34" t="str">
            <v>Управляющая компания</v>
          </cell>
          <cell r="BD34" t="str">
            <v>1. Жилой дом</v>
          </cell>
          <cell r="BE34">
            <v>24.6</v>
          </cell>
          <cell r="BF34" t="str">
            <v>2.Чёрный</v>
          </cell>
          <cell r="BG34" t="str">
            <v>1.Оцинкованный</v>
          </cell>
          <cell r="BH34" t="str">
            <v>3.Водяной</v>
          </cell>
          <cell r="BI34" t="str">
            <v>МУП УИС</v>
          </cell>
          <cell r="BJ34" t="str">
            <v>1. Чугун</v>
          </cell>
          <cell r="BK34">
            <v>2</v>
          </cell>
          <cell r="BL34" t="str">
            <v>8.Сборные ж/б</v>
          </cell>
          <cell r="BM34">
            <v>33970</v>
          </cell>
          <cell r="BN34">
            <v>33970</v>
          </cell>
          <cell r="BO34" t="str">
            <v>Оборудован</v>
          </cell>
          <cell r="BP34" t="str">
            <v>4.Мягк/рулонная</v>
          </cell>
          <cell r="BQ34" t="str">
            <v>2.Плоская</v>
          </cell>
          <cell r="BR34">
            <v>691</v>
          </cell>
          <cell r="BS34">
            <v>628</v>
          </cell>
          <cell r="BT34">
            <v>628</v>
          </cell>
          <cell r="BU34">
            <v>628</v>
          </cell>
          <cell r="BV34">
            <v>0</v>
          </cell>
          <cell r="BW34" t="str">
            <v>3.Частный жилищный фонд</v>
          </cell>
          <cell r="BX34">
            <v>72</v>
          </cell>
          <cell r="BY34">
            <v>0</v>
          </cell>
          <cell r="BZ34" t="str">
            <v>2-я</v>
          </cell>
          <cell r="CA34">
            <v>1</v>
          </cell>
          <cell r="CB34">
            <v>27.01</v>
          </cell>
          <cell r="CC34">
            <v>27.009994506835938</v>
          </cell>
          <cell r="CD34">
            <v>3840.2</v>
          </cell>
          <cell r="CE34">
            <v>3840.19921875</v>
          </cell>
          <cell r="CF34" t="str">
            <v>ООО "Сфера"</v>
          </cell>
          <cell r="CG34">
            <v>69</v>
          </cell>
          <cell r="CH34">
            <v>3</v>
          </cell>
          <cell r="CI34">
            <v>3</v>
          </cell>
          <cell r="CJ34">
            <v>3</v>
          </cell>
          <cell r="CK34">
            <v>0</v>
          </cell>
          <cell r="CL34">
            <v>1</v>
          </cell>
          <cell r="CM34">
            <v>72</v>
          </cell>
          <cell r="CN34">
            <v>645.1</v>
          </cell>
          <cell r="CO34">
            <v>645.1</v>
          </cell>
          <cell r="CP34">
            <v>1273.0999999999999</v>
          </cell>
          <cell r="CQ34">
            <v>1273.099609375</v>
          </cell>
          <cell r="CR34">
            <v>1273.099609375</v>
          </cell>
          <cell r="CS34">
            <v>1</v>
          </cell>
          <cell r="CT34">
            <v>72</v>
          </cell>
          <cell r="CU34">
            <v>0</v>
          </cell>
          <cell r="CV34">
            <v>70</v>
          </cell>
          <cell r="CW34">
            <v>68</v>
          </cell>
          <cell r="CX34">
            <v>1</v>
          </cell>
          <cell r="CY34">
            <v>1</v>
          </cell>
          <cell r="CZ34">
            <v>16396</v>
          </cell>
          <cell r="DA34" t="str">
            <v>Демский</v>
          </cell>
          <cell r="DB34" t="str">
            <v>3.Сборные ж/б панели</v>
          </cell>
          <cell r="DC34">
            <v>16396</v>
          </cell>
          <cell r="DD34">
            <v>16396</v>
          </cell>
          <cell r="DE34">
            <v>16396</v>
          </cell>
          <cell r="DF34">
            <v>16396</v>
          </cell>
          <cell r="DG34">
            <v>16396</v>
          </cell>
          <cell r="DH34">
            <v>16396</v>
          </cell>
          <cell r="DI34">
            <v>16396</v>
          </cell>
          <cell r="DJ34" t="str">
            <v>АО УЖХ Демского района</v>
          </cell>
          <cell r="DK34">
            <v>16396</v>
          </cell>
          <cell r="DL34">
            <v>1</v>
          </cell>
          <cell r="DM34">
            <v>9106255</v>
          </cell>
          <cell r="DN34">
            <v>2</v>
          </cell>
          <cell r="DO34" t="str">
            <v>ГВС</v>
          </cell>
          <cell r="DP34" t="str">
            <v>УЖХ</v>
          </cell>
          <cell r="DQ34">
            <v>34031</v>
          </cell>
          <cell r="DR34">
            <v>0</v>
          </cell>
          <cell r="DS34">
            <v>0</v>
          </cell>
          <cell r="DT34">
            <v>72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 t="str">
            <v>4. Независимая схема</v>
          </cell>
          <cell r="EE34" t="str">
            <v>Нижний</v>
          </cell>
          <cell r="EF34">
            <v>0</v>
          </cell>
          <cell r="EG34">
            <v>0</v>
          </cell>
          <cell r="EH34">
            <v>0</v>
          </cell>
          <cell r="EI34">
            <v>1504</v>
          </cell>
          <cell r="EJ34">
            <v>167.7</v>
          </cell>
          <cell r="EK34">
            <v>744.1</v>
          </cell>
          <cell r="EL34">
            <v>0</v>
          </cell>
          <cell r="EM34">
            <v>165.2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20.62</v>
          </cell>
          <cell r="FG34">
            <v>20.6199951171875</v>
          </cell>
          <cell r="FH34" t="str">
            <v>С УЛК (ЖЭУ)</v>
          </cell>
          <cell r="FI34">
            <v>43466</v>
          </cell>
          <cell r="FJ34">
            <v>15477</v>
          </cell>
          <cell r="FK34">
            <v>15477</v>
          </cell>
          <cell r="FL34">
            <v>5149.3</v>
          </cell>
          <cell r="FM34">
            <v>78.92</v>
          </cell>
          <cell r="FN34">
            <v>1944.72</v>
          </cell>
          <cell r="FO34">
            <v>5834.16</v>
          </cell>
        </row>
        <row r="35">
          <cell r="AI35" t="str">
            <v>Ул. Дагестанская дом 15</v>
          </cell>
          <cell r="AJ35">
            <v>5834.15625</v>
          </cell>
          <cell r="AK35">
            <v>3568.7</v>
          </cell>
          <cell r="AL35">
            <v>2354</v>
          </cell>
          <cell r="AM35">
            <v>4</v>
          </cell>
          <cell r="AN35">
            <v>4</v>
          </cell>
          <cell r="AO35" t="str">
            <v>АО УЖХ Демского района</v>
          </cell>
          <cell r="AP35">
            <v>3521.4</v>
          </cell>
          <cell r="AQ35">
            <v>45.3</v>
          </cell>
          <cell r="AR35">
            <v>288.60000000000002</v>
          </cell>
          <cell r="AS35">
            <v>7.9</v>
          </cell>
          <cell r="AT35">
            <v>80</v>
          </cell>
          <cell r="AU35">
            <v>5</v>
          </cell>
          <cell r="AV35">
            <v>188</v>
          </cell>
          <cell r="AW35">
            <v>0</v>
          </cell>
          <cell r="AX35">
            <v>0</v>
          </cell>
          <cell r="AY35">
            <v>0</v>
          </cell>
          <cell r="AZ35">
            <v>1322</v>
          </cell>
          <cell r="BA35">
            <v>2794.7</v>
          </cell>
          <cell r="BB35">
            <v>2794.69921875</v>
          </cell>
          <cell r="BC35" t="str">
            <v>Управляющая компания</v>
          </cell>
          <cell r="BD35" t="str">
            <v>1. Жилой дом</v>
          </cell>
          <cell r="BE35">
            <v>49.4</v>
          </cell>
          <cell r="BF35" t="str">
            <v>2.Чёрный</v>
          </cell>
          <cell r="BG35">
            <v>49.399993896484375</v>
          </cell>
          <cell r="BH35" t="str">
            <v>3.Водяной</v>
          </cell>
          <cell r="BI35" t="str">
            <v>МУП УИС</v>
          </cell>
          <cell r="BJ35" t="str">
            <v>1. Чугун</v>
          </cell>
          <cell r="BK35">
            <v>49.399993896484375</v>
          </cell>
          <cell r="BL35" t="str">
            <v>8.Сборные ж/б</v>
          </cell>
          <cell r="BM35">
            <v>22647</v>
          </cell>
          <cell r="BN35">
            <v>80</v>
          </cell>
          <cell r="BO35" t="str">
            <v>Оборудован</v>
          </cell>
          <cell r="BP35" t="str">
            <v>1.Абсоцемент(шифер)</v>
          </cell>
          <cell r="BQ35" t="str">
            <v>1.Скатная</v>
          </cell>
          <cell r="BR35">
            <v>1140</v>
          </cell>
          <cell r="BS35">
            <v>877</v>
          </cell>
          <cell r="BT35">
            <v>877</v>
          </cell>
          <cell r="BU35">
            <v>843</v>
          </cell>
          <cell r="BV35">
            <v>843</v>
          </cell>
          <cell r="BW35" t="str">
            <v>3.Частный жилищный фонд</v>
          </cell>
          <cell r="BX35">
            <v>80</v>
          </cell>
          <cell r="BY35">
            <v>0</v>
          </cell>
          <cell r="BZ35" t="str">
            <v>2-я</v>
          </cell>
          <cell r="CA35">
            <v>1</v>
          </cell>
          <cell r="CB35">
            <v>27.01</v>
          </cell>
          <cell r="CC35">
            <v>1</v>
          </cell>
          <cell r="CD35">
            <v>1</v>
          </cell>
          <cell r="CE35">
            <v>3566.7</v>
          </cell>
          <cell r="CF35" t="str">
            <v>ООО "Сфера"</v>
          </cell>
          <cell r="CG35">
            <v>79</v>
          </cell>
          <cell r="CH35">
            <v>1</v>
          </cell>
          <cell r="CI35">
            <v>1</v>
          </cell>
          <cell r="CJ35">
            <v>1</v>
          </cell>
          <cell r="CK35">
            <v>0</v>
          </cell>
          <cell r="CL35">
            <v>1</v>
          </cell>
          <cell r="CM35">
            <v>80</v>
          </cell>
          <cell r="CN35">
            <v>296.5</v>
          </cell>
          <cell r="CO35">
            <v>0</v>
          </cell>
          <cell r="CP35">
            <v>2016.5</v>
          </cell>
          <cell r="CQ35">
            <v>2016.5</v>
          </cell>
          <cell r="CR35">
            <v>2016.5</v>
          </cell>
          <cell r="CS35">
            <v>1</v>
          </cell>
          <cell r="CT35">
            <v>80</v>
          </cell>
          <cell r="CU35">
            <v>0</v>
          </cell>
          <cell r="CV35">
            <v>60</v>
          </cell>
          <cell r="CW35">
            <v>0</v>
          </cell>
          <cell r="CX35">
            <v>1</v>
          </cell>
          <cell r="CY35">
            <v>1</v>
          </cell>
          <cell r="CZ35">
            <v>12369</v>
          </cell>
          <cell r="DA35" t="str">
            <v>Демский</v>
          </cell>
          <cell r="DB35" t="str">
            <v>3.Сборные ж/б панели</v>
          </cell>
          <cell r="DC35">
            <v>12369</v>
          </cell>
          <cell r="DD35">
            <v>12369</v>
          </cell>
          <cell r="DE35">
            <v>12369</v>
          </cell>
          <cell r="DF35">
            <v>12369</v>
          </cell>
          <cell r="DG35">
            <v>12369</v>
          </cell>
          <cell r="DH35">
            <v>12369</v>
          </cell>
          <cell r="DI35">
            <v>12369</v>
          </cell>
          <cell r="DJ35">
            <v>12369</v>
          </cell>
          <cell r="DK35">
            <v>0</v>
          </cell>
          <cell r="DL35">
            <v>0</v>
          </cell>
          <cell r="DM35">
            <v>6414484</v>
          </cell>
          <cell r="DN35">
            <v>4</v>
          </cell>
          <cell r="DO35" t="str">
            <v>Отопление</v>
          </cell>
          <cell r="DP35" t="str">
            <v>УЖХ</v>
          </cell>
          <cell r="DQ35">
            <v>38782</v>
          </cell>
          <cell r="DR35">
            <v>0</v>
          </cell>
          <cell r="DS35">
            <v>80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 t="str">
            <v>3.Зависимая схема</v>
          </cell>
          <cell r="EE35" t="str">
            <v>Нижний</v>
          </cell>
          <cell r="EF35">
            <v>0</v>
          </cell>
          <cell r="EG35">
            <v>0</v>
          </cell>
          <cell r="EH35">
            <v>2794.7</v>
          </cell>
          <cell r="EI35">
            <v>2794.69921875</v>
          </cell>
          <cell r="EJ35">
            <v>50</v>
          </cell>
          <cell r="EK35">
            <v>958.1</v>
          </cell>
          <cell r="EL35">
            <v>0</v>
          </cell>
          <cell r="EM35">
            <v>260.3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53.6</v>
          </cell>
          <cell r="FB35">
            <v>1</v>
          </cell>
          <cell r="FC35">
            <v>1</v>
          </cell>
          <cell r="FD35">
            <v>0</v>
          </cell>
          <cell r="FE35">
            <v>0</v>
          </cell>
          <cell r="FF35">
            <v>18.21</v>
          </cell>
          <cell r="FG35">
            <v>18.209991455078125</v>
          </cell>
          <cell r="FH35" t="str">
            <v>С УЛК (клининг)</v>
          </cell>
          <cell r="FI35">
            <v>43867</v>
          </cell>
          <cell r="FJ35">
            <v>15477</v>
          </cell>
          <cell r="FK35">
            <v>0</v>
          </cell>
          <cell r="FL35">
            <v>4742.2</v>
          </cell>
          <cell r="FM35">
            <v>78.92</v>
          </cell>
          <cell r="FN35">
            <v>8474.4000000000015</v>
          </cell>
          <cell r="FO35">
            <v>25423.200000000004</v>
          </cell>
        </row>
        <row r="36">
          <cell r="AI36" t="str">
            <v>Ул. Дагестанская дом 17</v>
          </cell>
          <cell r="AJ36">
            <v>25423.1875</v>
          </cell>
          <cell r="AK36">
            <v>2602.1</v>
          </cell>
          <cell r="AL36">
            <v>1816.3</v>
          </cell>
          <cell r="AM36">
            <v>4</v>
          </cell>
          <cell r="AN36">
            <v>4</v>
          </cell>
          <cell r="AO36" t="str">
            <v>АО УЖХ Демского района</v>
          </cell>
          <cell r="AP36">
            <v>2463.8000000000002</v>
          </cell>
          <cell r="AQ36">
            <v>138.30000000000001</v>
          </cell>
          <cell r="AR36">
            <v>279.89999999999998</v>
          </cell>
          <cell r="AS36">
            <v>10</v>
          </cell>
          <cell r="AT36">
            <v>60</v>
          </cell>
          <cell r="AU36">
            <v>5</v>
          </cell>
          <cell r="AV36">
            <v>149</v>
          </cell>
          <cell r="AW36">
            <v>0</v>
          </cell>
          <cell r="AX36">
            <v>0</v>
          </cell>
          <cell r="AY36">
            <v>0</v>
          </cell>
          <cell r="AZ36">
            <v>1133</v>
          </cell>
          <cell r="BA36">
            <v>2683.6</v>
          </cell>
          <cell r="BB36">
            <v>2683.599609375</v>
          </cell>
          <cell r="BC36" t="str">
            <v>Управляющая компания</v>
          </cell>
          <cell r="BD36" t="str">
            <v>1. Жилой дом</v>
          </cell>
          <cell r="BE36">
            <v>45.4</v>
          </cell>
          <cell r="BF36" t="str">
            <v>2.Чёрный</v>
          </cell>
          <cell r="BG36">
            <v>45.399993896484375</v>
          </cell>
          <cell r="BH36" t="str">
            <v>3.Водяной</v>
          </cell>
          <cell r="BI36" t="str">
            <v>МУП УИС</v>
          </cell>
          <cell r="BJ36" t="str">
            <v>1. Чугун</v>
          </cell>
          <cell r="BK36">
            <v>45.399993896484375</v>
          </cell>
          <cell r="BL36" t="str">
            <v>8.Сборные ж/б</v>
          </cell>
          <cell r="BM36">
            <v>24473</v>
          </cell>
          <cell r="BN36">
            <v>60</v>
          </cell>
          <cell r="BO36" t="str">
            <v>Оборудован</v>
          </cell>
          <cell r="BP36" t="str">
            <v>4.Мягк/рулонная</v>
          </cell>
          <cell r="BQ36" t="str">
            <v>2.Плоская</v>
          </cell>
          <cell r="BR36">
            <v>743</v>
          </cell>
          <cell r="BS36">
            <v>676</v>
          </cell>
          <cell r="BT36">
            <v>676</v>
          </cell>
          <cell r="BU36">
            <v>676</v>
          </cell>
          <cell r="BV36">
            <v>0</v>
          </cell>
          <cell r="BW36" t="str">
            <v>3.Частный жилищный фонд</v>
          </cell>
          <cell r="BX36">
            <v>60</v>
          </cell>
          <cell r="BY36">
            <v>0</v>
          </cell>
          <cell r="BZ36" t="str">
            <v>2-я</v>
          </cell>
          <cell r="CA36">
            <v>1</v>
          </cell>
          <cell r="CB36">
            <v>27.01</v>
          </cell>
          <cell r="CC36">
            <v>1</v>
          </cell>
          <cell r="CD36">
            <v>1</v>
          </cell>
          <cell r="CE36">
            <v>2602.1</v>
          </cell>
          <cell r="CF36" t="str">
            <v>ООО "Сфера"</v>
          </cell>
          <cell r="CG36">
            <v>57</v>
          </cell>
          <cell r="CH36">
            <v>3</v>
          </cell>
          <cell r="CI36">
            <v>3</v>
          </cell>
          <cell r="CJ36">
            <v>3</v>
          </cell>
          <cell r="CK36">
            <v>1</v>
          </cell>
          <cell r="CL36">
            <v>1</v>
          </cell>
          <cell r="CM36">
            <v>60</v>
          </cell>
          <cell r="CN36">
            <v>289.89999999999998</v>
          </cell>
          <cell r="CO36">
            <v>0</v>
          </cell>
          <cell r="CP36">
            <v>965.9</v>
          </cell>
          <cell r="CQ36">
            <v>965.89990234375</v>
          </cell>
          <cell r="CR36">
            <v>965.89990234375</v>
          </cell>
          <cell r="CS36">
            <v>1</v>
          </cell>
          <cell r="CT36">
            <v>60</v>
          </cell>
          <cell r="CU36">
            <v>0</v>
          </cell>
          <cell r="CV36">
            <v>50</v>
          </cell>
          <cell r="CW36">
            <v>0</v>
          </cell>
          <cell r="CX36">
            <v>1</v>
          </cell>
          <cell r="CY36">
            <v>1</v>
          </cell>
          <cell r="CZ36">
            <v>9494</v>
          </cell>
          <cell r="DA36" t="str">
            <v>Демский</v>
          </cell>
          <cell r="DB36" t="str">
            <v>3.Сборные ж/б панели</v>
          </cell>
          <cell r="DC36">
            <v>9494</v>
          </cell>
          <cell r="DD36">
            <v>9494</v>
          </cell>
          <cell r="DE36">
            <v>9494</v>
          </cell>
          <cell r="DF36">
            <v>9494</v>
          </cell>
          <cell r="DG36">
            <v>9494</v>
          </cell>
          <cell r="DH36">
            <v>9494</v>
          </cell>
          <cell r="DI36">
            <v>9494</v>
          </cell>
          <cell r="DJ36">
            <v>9494</v>
          </cell>
          <cell r="DK36">
            <v>0</v>
          </cell>
          <cell r="DL36">
            <v>0</v>
          </cell>
          <cell r="DM36">
            <v>4187441</v>
          </cell>
          <cell r="DN36">
            <v>4</v>
          </cell>
          <cell r="DO36" t="str">
            <v>Отопление</v>
          </cell>
          <cell r="DP36" t="str">
            <v>УЖХ</v>
          </cell>
          <cell r="DQ36">
            <v>35655</v>
          </cell>
          <cell r="DR36">
            <v>0</v>
          </cell>
          <cell r="DS36">
            <v>60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 t="str">
            <v>3.Зависимая схема</v>
          </cell>
          <cell r="EE36" t="str">
            <v>Нижний</v>
          </cell>
          <cell r="EF36">
            <v>0</v>
          </cell>
          <cell r="EG36">
            <v>0</v>
          </cell>
          <cell r="EH36">
            <v>207</v>
          </cell>
          <cell r="EI36">
            <v>2476.6</v>
          </cell>
          <cell r="EJ36">
            <v>2476.599609375</v>
          </cell>
          <cell r="EK36">
            <v>724.5</v>
          </cell>
          <cell r="EL36">
            <v>724.5</v>
          </cell>
          <cell r="EM36">
            <v>321.60000000000002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86.9</v>
          </cell>
          <cell r="FB36">
            <v>1</v>
          </cell>
          <cell r="FC36">
            <v>1</v>
          </cell>
          <cell r="FD36">
            <v>0</v>
          </cell>
          <cell r="FE36">
            <v>0</v>
          </cell>
          <cell r="FF36">
            <v>14.29</v>
          </cell>
          <cell r="FG36">
            <v>14.289993286132813</v>
          </cell>
          <cell r="FH36" t="str">
            <v>С УЛК (клининг)</v>
          </cell>
          <cell r="FI36">
            <v>43553</v>
          </cell>
          <cell r="FJ36">
            <v>15477</v>
          </cell>
          <cell r="FK36">
            <v>15477</v>
          </cell>
          <cell r="FL36">
            <v>3568</v>
          </cell>
          <cell r="FM36">
            <v>78.92</v>
          </cell>
          <cell r="FN36">
            <v>6355.8</v>
          </cell>
          <cell r="FO36">
            <v>19067.400000000001</v>
          </cell>
        </row>
        <row r="37">
          <cell r="AI37" t="str">
            <v>Ул. Новороссийская дом 2</v>
          </cell>
          <cell r="AJ37">
            <v>19067.390625</v>
          </cell>
          <cell r="AK37">
            <v>879</v>
          </cell>
          <cell r="AL37">
            <v>557.9</v>
          </cell>
          <cell r="AM37">
            <v>3</v>
          </cell>
          <cell r="AN37">
            <v>3</v>
          </cell>
          <cell r="AO37" t="str">
            <v>АО УЖХ Демского района</v>
          </cell>
          <cell r="AP37">
            <v>711.4</v>
          </cell>
          <cell r="AQ37">
            <v>167.6</v>
          </cell>
          <cell r="AR37">
            <v>58.9</v>
          </cell>
          <cell r="AS37">
            <v>0</v>
          </cell>
          <cell r="AT37">
            <v>16</v>
          </cell>
          <cell r="AU37">
            <v>2</v>
          </cell>
          <cell r="AV37">
            <v>40</v>
          </cell>
          <cell r="AW37">
            <v>0</v>
          </cell>
          <cell r="AX37">
            <v>0</v>
          </cell>
          <cell r="AY37">
            <v>0</v>
          </cell>
          <cell r="AZ37">
            <v>710.92</v>
          </cell>
          <cell r="BA37">
            <v>329.61</v>
          </cell>
          <cell r="BB37">
            <v>329.60986328125</v>
          </cell>
          <cell r="BC37" t="str">
            <v>Управляющая компания</v>
          </cell>
          <cell r="BD37" t="str">
            <v>1. Жилой дом</v>
          </cell>
          <cell r="BE37">
            <v>66.75</v>
          </cell>
          <cell r="BF37" t="str">
            <v>2.Чёрный</v>
          </cell>
          <cell r="BG37">
            <v>66.75</v>
          </cell>
          <cell r="BH37" t="str">
            <v>3.Водяной</v>
          </cell>
          <cell r="BI37" t="str">
            <v>МУП УИС</v>
          </cell>
          <cell r="BJ37" t="str">
            <v>1. Чугун</v>
          </cell>
          <cell r="BK37">
            <v>66.75</v>
          </cell>
          <cell r="BL37" t="str">
            <v>4.Шлакоблок</v>
          </cell>
          <cell r="BM37">
            <v>20821</v>
          </cell>
          <cell r="BN37">
            <v>16</v>
          </cell>
          <cell r="BO37" t="str">
            <v>Не оборудован</v>
          </cell>
          <cell r="BP37" t="str">
            <v>1.Абсоцемент(шифер)</v>
          </cell>
          <cell r="BQ37" t="str">
            <v>1.Скатная</v>
          </cell>
          <cell r="BR37">
            <v>708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 t="str">
            <v>3.Частный жилищный фонд</v>
          </cell>
          <cell r="BX37">
            <v>16</v>
          </cell>
          <cell r="BY37">
            <v>0</v>
          </cell>
          <cell r="BZ37" t="str">
            <v>3-я</v>
          </cell>
          <cell r="CA37">
            <v>1</v>
          </cell>
          <cell r="CB37">
            <v>27.01</v>
          </cell>
          <cell r="CC37">
            <v>1</v>
          </cell>
          <cell r="CD37">
            <v>1</v>
          </cell>
          <cell r="CE37">
            <v>1</v>
          </cell>
          <cell r="CF37" t="str">
            <v>ООО "Гранд"</v>
          </cell>
          <cell r="CG37">
            <v>12</v>
          </cell>
          <cell r="CH37">
            <v>4</v>
          </cell>
          <cell r="CI37">
            <v>4</v>
          </cell>
          <cell r="CJ37">
            <v>4</v>
          </cell>
          <cell r="CK37">
            <v>0</v>
          </cell>
          <cell r="CL37">
            <v>1</v>
          </cell>
          <cell r="CM37">
            <v>23</v>
          </cell>
          <cell r="CN37">
            <v>58.9</v>
          </cell>
          <cell r="CO37">
            <v>0</v>
          </cell>
          <cell r="CP37">
            <v>58.9</v>
          </cell>
          <cell r="CQ37">
            <v>58.899993896484375</v>
          </cell>
          <cell r="CR37">
            <v>58.899993896484375</v>
          </cell>
          <cell r="CS37">
            <v>0</v>
          </cell>
          <cell r="CT37">
            <v>16</v>
          </cell>
          <cell r="CU37">
            <v>0</v>
          </cell>
          <cell r="CV37">
            <v>0</v>
          </cell>
          <cell r="CW37">
            <v>0</v>
          </cell>
          <cell r="CX37">
            <v>1</v>
          </cell>
          <cell r="CY37">
            <v>1</v>
          </cell>
          <cell r="CZ37">
            <v>4729</v>
          </cell>
          <cell r="DA37" t="str">
            <v>Демский</v>
          </cell>
          <cell r="DB37" t="str">
            <v>3.Сборные ж/б панели</v>
          </cell>
          <cell r="DC37">
            <v>4729</v>
          </cell>
          <cell r="DD37">
            <v>4729</v>
          </cell>
          <cell r="DE37">
            <v>4729</v>
          </cell>
          <cell r="DF37">
            <v>4729</v>
          </cell>
          <cell r="DG37">
            <v>4729</v>
          </cell>
          <cell r="DH37">
            <v>4729</v>
          </cell>
          <cell r="DI37">
            <v>4729</v>
          </cell>
          <cell r="DJ37">
            <v>4729</v>
          </cell>
          <cell r="DK37">
            <v>0</v>
          </cell>
          <cell r="DL37">
            <v>1</v>
          </cell>
          <cell r="DM37">
            <v>1703544</v>
          </cell>
          <cell r="DN37">
            <v>0</v>
          </cell>
          <cell r="DO37">
            <v>0</v>
          </cell>
          <cell r="DP37" t="str">
            <v>УЖХ</v>
          </cell>
          <cell r="DQ37">
            <v>35781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 t="str">
            <v>3.Зависимая схема</v>
          </cell>
          <cell r="EE37" t="str">
            <v>Верхний</v>
          </cell>
          <cell r="EF37">
            <v>0</v>
          </cell>
          <cell r="EG37">
            <v>0</v>
          </cell>
          <cell r="EH37">
            <v>0</v>
          </cell>
          <cell r="EI37">
            <v>329.61</v>
          </cell>
          <cell r="EJ37">
            <v>240.83</v>
          </cell>
          <cell r="EK37">
            <v>438.09</v>
          </cell>
          <cell r="EL37">
            <v>438.08984375</v>
          </cell>
          <cell r="EM37">
            <v>32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39.19</v>
          </cell>
          <cell r="FG37">
            <v>39.189971923828125</v>
          </cell>
          <cell r="FH37">
            <v>39.189971923828125</v>
          </cell>
          <cell r="FI37">
            <v>44682</v>
          </cell>
          <cell r="FJ37">
            <v>15477</v>
          </cell>
          <cell r="FK37">
            <v>15477</v>
          </cell>
          <cell r="FL37">
            <v>937.9</v>
          </cell>
          <cell r="FM37">
            <v>78.92</v>
          </cell>
          <cell r="FN37">
            <v>1694.88</v>
          </cell>
          <cell r="FO37">
            <v>5084.6400000000003</v>
          </cell>
        </row>
        <row r="38">
          <cell r="AI38" t="str">
            <v>Ул. Дагестанская дом 17/1</v>
          </cell>
          <cell r="AJ38">
            <v>5084.63671875</v>
          </cell>
          <cell r="AK38">
            <v>8230.6</v>
          </cell>
          <cell r="AL38">
            <v>4630.6000000000004</v>
          </cell>
          <cell r="AM38">
            <v>4</v>
          </cell>
          <cell r="AN38">
            <v>4</v>
          </cell>
          <cell r="AO38" t="str">
            <v>АО УЖХ Демского района</v>
          </cell>
          <cell r="AP38">
            <v>8016</v>
          </cell>
          <cell r="AQ38">
            <v>214.6</v>
          </cell>
          <cell r="AR38">
            <v>544.4</v>
          </cell>
          <cell r="AS38">
            <v>591.20000000000005</v>
          </cell>
          <cell r="AT38">
            <v>144</v>
          </cell>
          <cell r="AU38">
            <v>9</v>
          </cell>
          <cell r="AV38">
            <v>386</v>
          </cell>
          <cell r="AW38">
            <v>0</v>
          </cell>
          <cell r="AX38" t="str">
            <v>отказ от услуги</v>
          </cell>
          <cell r="AY38">
            <v>224.9</v>
          </cell>
          <cell r="AZ38">
            <v>2531.8000000000002</v>
          </cell>
          <cell r="BA38">
            <v>2549.04</v>
          </cell>
          <cell r="BB38">
            <v>2549.0390625</v>
          </cell>
          <cell r="BC38" t="str">
            <v>Управляющая компания</v>
          </cell>
          <cell r="BD38" t="str">
            <v>1. Жилой дом</v>
          </cell>
          <cell r="BE38">
            <v>25.4</v>
          </cell>
          <cell r="BF38" t="str">
            <v>2.Чёрный</v>
          </cell>
          <cell r="BG38" t="str">
            <v>1.Оцинкованный</v>
          </cell>
          <cell r="BH38" t="str">
            <v>3.Водяной</v>
          </cell>
          <cell r="BI38" t="str">
            <v>МУП УИС</v>
          </cell>
          <cell r="BJ38" t="str">
            <v>1. Чугун</v>
          </cell>
          <cell r="BK38">
            <v>4</v>
          </cell>
          <cell r="BL38" t="str">
            <v>9.Крупнопанел/блок</v>
          </cell>
          <cell r="BM38">
            <v>33604</v>
          </cell>
          <cell r="BN38">
            <v>33604</v>
          </cell>
          <cell r="BO38" t="str">
            <v>Оборудован</v>
          </cell>
          <cell r="BP38" t="str">
            <v>4.Мягк/рулонная</v>
          </cell>
          <cell r="BQ38" t="str">
            <v>2.Плоская</v>
          </cell>
          <cell r="BR38">
            <v>1404</v>
          </cell>
          <cell r="BS38">
            <v>1051.5</v>
          </cell>
          <cell r="BT38">
            <v>1051.5</v>
          </cell>
          <cell r="BU38">
            <v>1051.5</v>
          </cell>
          <cell r="BV38">
            <v>0</v>
          </cell>
          <cell r="BW38" t="str">
            <v>3.Частный жилищный фонд</v>
          </cell>
          <cell r="BX38">
            <v>144</v>
          </cell>
          <cell r="BY38">
            <v>0</v>
          </cell>
          <cell r="BZ38" t="str">
            <v>2-я</v>
          </cell>
          <cell r="CA38">
            <v>1</v>
          </cell>
          <cell r="CB38">
            <v>27.01</v>
          </cell>
          <cell r="CC38">
            <v>27.009994506835938</v>
          </cell>
          <cell r="CD38">
            <v>8230.6</v>
          </cell>
          <cell r="CE38">
            <v>8230.59375</v>
          </cell>
          <cell r="CF38" t="str">
            <v>ООО "Сфера"</v>
          </cell>
          <cell r="CG38">
            <v>140</v>
          </cell>
          <cell r="CH38">
            <v>4</v>
          </cell>
          <cell r="CI38">
            <v>4</v>
          </cell>
          <cell r="CJ38">
            <v>4</v>
          </cell>
          <cell r="CK38">
            <v>0</v>
          </cell>
          <cell r="CL38">
            <v>1</v>
          </cell>
          <cell r="CM38">
            <v>144</v>
          </cell>
          <cell r="CN38">
            <v>1135.5999999999999</v>
          </cell>
          <cell r="CO38">
            <v>1135.5999999999999</v>
          </cell>
          <cell r="CP38">
            <v>2187.1</v>
          </cell>
          <cell r="CQ38">
            <v>2187.099609375</v>
          </cell>
          <cell r="CR38">
            <v>2187.099609375</v>
          </cell>
          <cell r="CS38">
            <v>2</v>
          </cell>
          <cell r="CT38">
            <v>144</v>
          </cell>
          <cell r="CU38">
            <v>0</v>
          </cell>
          <cell r="CV38">
            <v>134</v>
          </cell>
          <cell r="CW38">
            <v>136</v>
          </cell>
          <cell r="CX38">
            <v>2</v>
          </cell>
          <cell r="CY38">
            <v>2</v>
          </cell>
          <cell r="CZ38">
            <v>34139</v>
          </cell>
          <cell r="DA38" t="str">
            <v>Демский</v>
          </cell>
          <cell r="DB38" t="str">
            <v>3.Сборные ж/б панели</v>
          </cell>
          <cell r="DC38">
            <v>34139</v>
          </cell>
          <cell r="DD38">
            <v>34139</v>
          </cell>
          <cell r="DE38">
            <v>34139</v>
          </cell>
          <cell r="DF38">
            <v>34139</v>
          </cell>
          <cell r="DG38">
            <v>34139</v>
          </cell>
          <cell r="DH38">
            <v>34139</v>
          </cell>
          <cell r="DI38">
            <v>34139</v>
          </cell>
          <cell r="DJ38" t="str">
            <v>АО УЖХ Демского района</v>
          </cell>
          <cell r="DK38">
            <v>34139</v>
          </cell>
          <cell r="DL38">
            <v>1</v>
          </cell>
          <cell r="DM38">
            <v>17394720</v>
          </cell>
          <cell r="DN38">
            <v>4</v>
          </cell>
          <cell r="DO38" t="str">
            <v>ГВС</v>
          </cell>
          <cell r="DP38" t="str">
            <v>УЖХ</v>
          </cell>
          <cell r="DQ38">
            <v>33948</v>
          </cell>
          <cell r="DR38">
            <v>0</v>
          </cell>
          <cell r="DS38">
            <v>144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 t="str">
            <v>4. Независимая схема</v>
          </cell>
          <cell r="EE38" t="str">
            <v>Нижний</v>
          </cell>
          <cell r="EF38">
            <v>0</v>
          </cell>
          <cell r="EG38">
            <v>0</v>
          </cell>
          <cell r="EH38">
            <v>0</v>
          </cell>
          <cell r="EI38">
            <v>2137.04</v>
          </cell>
          <cell r="EJ38">
            <v>609.9</v>
          </cell>
          <cell r="EK38">
            <v>1225.5999999999999</v>
          </cell>
          <cell r="EL38">
            <v>180</v>
          </cell>
          <cell r="EM38">
            <v>431.4</v>
          </cell>
          <cell r="EN38">
            <v>5</v>
          </cell>
          <cell r="EO38">
            <v>5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412</v>
          </cell>
          <cell r="EV38">
            <v>1</v>
          </cell>
          <cell r="EW38">
            <v>20.399999999999999</v>
          </cell>
          <cell r="EX38">
            <v>1</v>
          </cell>
          <cell r="EY38">
            <v>1</v>
          </cell>
          <cell r="EZ38">
            <v>0</v>
          </cell>
          <cell r="FA38">
            <v>64.5</v>
          </cell>
          <cell r="FB38">
            <v>1</v>
          </cell>
          <cell r="FC38">
            <v>1</v>
          </cell>
          <cell r="FD38">
            <v>0</v>
          </cell>
          <cell r="FE38">
            <v>0</v>
          </cell>
          <cell r="FF38">
            <v>18.399999999999999</v>
          </cell>
          <cell r="FG38">
            <v>18.399993896484375</v>
          </cell>
          <cell r="FH38" t="str">
            <v>С УЛК (клининг)</v>
          </cell>
          <cell r="FI38">
            <v>43466</v>
          </cell>
          <cell r="FJ38">
            <v>15477</v>
          </cell>
          <cell r="FK38">
            <v>15477</v>
          </cell>
          <cell r="FL38">
            <v>10674.6</v>
          </cell>
          <cell r="FM38">
            <v>78.92</v>
          </cell>
          <cell r="FN38">
            <v>3889.44</v>
          </cell>
          <cell r="FO38">
            <v>11668.32</v>
          </cell>
        </row>
        <row r="39">
          <cell r="AI39" t="str">
            <v>Ул. Дагестанская дом 19</v>
          </cell>
          <cell r="AJ39">
            <v>11668.3125</v>
          </cell>
          <cell r="AK39">
            <v>3599.3</v>
          </cell>
          <cell r="AL39">
            <v>2373.6999999999998</v>
          </cell>
          <cell r="AM39">
            <v>4</v>
          </cell>
          <cell r="AN39">
            <v>4</v>
          </cell>
          <cell r="AO39" t="str">
            <v>АО УЖХ Демского района</v>
          </cell>
          <cell r="AP39">
            <v>3369.2</v>
          </cell>
          <cell r="AQ39">
            <v>230.3</v>
          </cell>
          <cell r="AR39">
            <v>287.60000000000002</v>
          </cell>
          <cell r="AS39">
            <v>8</v>
          </cell>
          <cell r="AT39">
            <v>80</v>
          </cell>
          <cell r="AU39">
            <v>5</v>
          </cell>
          <cell r="AV39">
            <v>197</v>
          </cell>
          <cell r="AW39">
            <v>0</v>
          </cell>
          <cell r="AX39">
            <v>0</v>
          </cell>
          <cell r="AY39">
            <v>0</v>
          </cell>
          <cell r="AZ39">
            <v>1403.5</v>
          </cell>
          <cell r="BA39">
            <v>2733.6</v>
          </cell>
          <cell r="BB39">
            <v>2733.599609375</v>
          </cell>
          <cell r="BC39" t="str">
            <v>Управляющая компания</v>
          </cell>
          <cell r="BD39" t="str">
            <v>1. Жилой дом</v>
          </cell>
          <cell r="BE39">
            <v>48.6</v>
          </cell>
          <cell r="BF39" t="str">
            <v>2.Чёрный</v>
          </cell>
          <cell r="BG39">
            <v>48.5999755859375</v>
          </cell>
          <cell r="BH39" t="str">
            <v>3.Водяной</v>
          </cell>
          <cell r="BI39" t="str">
            <v>МУП УИС</v>
          </cell>
          <cell r="BJ39" t="str">
            <v>1. Чугун</v>
          </cell>
          <cell r="BK39">
            <v>48.5999755859375</v>
          </cell>
          <cell r="BL39" t="str">
            <v>8.Сборные ж/б</v>
          </cell>
          <cell r="BM39">
            <v>23012</v>
          </cell>
          <cell r="BN39">
            <v>80</v>
          </cell>
          <cell r="BO39" t="str">
            <v>Оборудован</v>
          </cell>
          <cell r="BP39" t="str">
            <v>1.Абсоцемент(шифер)</v>
          </cell>
          <cell r="BQ39" t="str">
            <v>1.Скатная</v>
          </cell>
          <cell r="BR39">
            <v>1136</v>
          </cell>
          <cell r="BS39">
            <v>874.2</v>
          </cell>
          <cell r="BT39">
            <v>874.19970703125</v>
          </cell>
          <cell r="BU39">
            <v>817</v>
          </cell>
          <cell r="BV39">
            <v>817</v>
          </cell>
          <cell r="BW39" t="str">
            <v>3.Частный жилищный фонд</v>
          </cell>
          <cell r="BX39">
            <v>80</v>
          </cell>
          <cell r="BY39">
            <v>0</v>
          </cell>
          <cell r="BZ39" t="str">
            <v>2-я</v>
          </cell>
          <cell r="CA39">
            <v>1</v>
          </cell>
          <cell r="CB39">
            <v>27.01</v>
          </cell>
          <cell r="CC39">
            <v>1</v>
          </cell>
          <cell r="CD39">
            <v>1</v>
          </cell>
          <cell r="CE39">
            <v>3599.5</v>
          </cell>
          <cell r="CF39" t="str">
            <v>ООО "Сфера"</v>
          </cell>
          <cell r="CG39">
            <v>75</v>
          </cell>
          <cell r="CH39">
            <v>5</v>
          </cell>
          <cell r="CI39">
            <v>5</v>
          </cell>
          <cell r="CJ39">
            <v>5</v>
          </cell>
          <cell r="CK39">
            <v>1</v>
          </cell>
          <cell r="CL39">
            <v>1</v>
          </cell>
          <cell r="CM39">
            <v>81</v>
          </cell>
          <cell r="CN39">
            <v>295.60000000000002</v>
          </cell>
          <cell r="CO39">
            <v>0</v>
          </cell>
          <cell r="CP39">
            <v>1986.8</v>
          </cell>
          <cell r="CQ39">
            <v>1986.7998046875</v>
          </cell>
          <cell r="CR39">
            <v>1986.7998046875</v>
          </cell>
          <cell r="CS39">
            <v>1</v>
          </cell>
          <cell r="CT39">
            <v>80</v>
          </cell>
          <cell r="CU39">
            <v>0</v>
          </cell>
          <cell r="CV39">
            <v>65</v>
          </cell>
          <cell r="CW39">
            <v>0</v>
          </cell>
          <cell r="CX39">
            <v>1</v>
          </cell>
          <cell r="CY39">
            <v>1</v>
          </cell>
          <cell r="CZ39">
            <v>12545</v>
          </cell>
          <cell r="DA39" t="str">
            <v>Демский</v>
          </cell>
          <cell r="DB39" t="str">
            <v>3.Сборные ж/б панели</v>
          </cell>
          <cell r="DC39">
            <v>12545</v>
          </cell>
          <cell r="DD39">
            <v>12545</v>
          </cell>
          <cell r="DE39">
            <v>12545</v>
          </cell>
          <cell r="DF39">
            <v>12545</v>
          </cell>
          <cell r="DG39">
            <v>12545</v>
          </cell>
          <cell r="DH39">
            <v>12545</v>
          </cell>
          <cell r="DI39">
            <v>12545</v>
          </cell>
          <cell r="DJ39">
            <v>12545</v>
          </cell>
          <cell r="DK39">
            <v>0</v>
          </cell>
          <cell r="DL39">
            <v>0</v>
          </cell>
          <cell r="DM39">
            <v>5436528</v>
          </cell>
          <cell r="DN39">
            <v>4</v>
          </cell>
          <cell r="DO39" t="str">
            <v>Отопление</v>
          </cell>
          <cell r="DP39" t="str">
            <v>УЖХ</v>
          </cell>
          <cell r="DQ39">
            <v>38782</v>
          </cell>
          <cell r="DR39">
            <v>0</v>
          </cell>
          <cell r="DS39">
            <v>80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 t="str">
            <v>3.Зависимая схема</v>
          </cell>
          <cell r="EE39" t="str">
            <v>Верхний</v>
          </cell>
          <cell r="EF39">
            <v>0</v>
          </cell>
          <cell r="EG39">
            <v>0</v>
          </cell>
          <cell r="EH39">
            <v>2733.6</v>
          </cell>
          <cell r="EI39">
            <v>2733.599609375</v>
          </cell>
          <cell r="EJ39">
            <v>2733.599609375</v>
          </cell>
          <cell r="EK39">
            <v>809.2</v>
          </cell>
          <cell r="EL39">
            <v>233.8</v>
          </cell>
          <cell r="EM39">
            <v>360.5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16.5</v>
          </cell>
          <cell r="FG39">
            <v>16.5</v>
          </cell>
          <cell r="FH39" t="str">
            <v>С УЛК (ЖЭУ)</v>
          </cell>
          <cell r="FI39">
            <v>43553</v>
          </cell>
          <cell r="FJ39">
            <v>15477</v>
          </cell>
          <cell r="FK39">
            <v>0</v>
          </cell>
          <cell r="FL39">
            <v>4769.1000000000004</v>
          </cell>
          <cell r="FM39">
            <v>78.92</v>
          </cell>
          <cell r="FN39">
            <v>8474.4000000000015</v>
          </cell>
          <cell r="FO39">
            <v>25423.200000000004</v>
          </cell>
        </row>
        <row r="40">
          <cell r="AI40" t="str">
            <v>Ул. Новороссийская дом 4</v>
          </cell>
          <cell r="AJ40">
            <v>25423.1875</v>
          </cell>
          <cell r="AK40">
            <v>367.3</v>
          </cell>
          <cell r="AL40">
            <v>246.2</v>
          </cell>
          <cell r="AM40">
            <v>1</v>
          </cell>
          <cell r="AN40">
            <v>1</v>
          </cell>
          <cell r="AO40" t="str">
            <v>АО УЖХ Демского района</v>
          </cell>
          <cell r="AP40">
            <v>366.5</v>
          </cell>
          <cell r="AQ40">
            <v>0</v>
          </cell>
          <cell r="AR40">
            <v>31.5</v>
          </cell>
          <cell r="AS40">
            <v>0</v>
          </cell>
          <cell r="AT40">
            <v>8</v>
          </cell>
          <cell r="AU40">
            <v>2</v>
          </cell>
          <cell r="AV40">
            <v>18</v>
          </cell>
          <cell r="AW40">
            <v>0</v>
          </cell>
          <cell r="AX40">
            <v>0</v>
          </cell>
          <cell r="AY40">
            <v>0</v>
          </cell>
          <cell r="AZ40">
            <v>306.08999999999997</v>
          </cell>
          <cell r="BA40">
            <v>576.29999999999995</v>
          </cell>
          <cell r="BB40">
            <v>576.2998046875</v>
          </cell>
          <cell r="BC40" t="str">
            <v>Непосредственное</v>
          </cell>
          <cell r="BD40" t="str">
            <v>1. Жилой дом</v>
          </cell>
          <cell r="BE40">
            <v>66.75</v>
          </cell>
          <cell r="BF40" t="str">
            <v>2.Чёрный</v>
          </cell>
          <cell r="BG40">
            <v>66.75</v>
          </cell>
          <cell r="BH40" t="str">
            <v>3.Водяной</v>
          </cell>
          <cell r="BI40" t="str">
            <v>МУП УИС</v>
          </cell>
          <cell r="BJ40" t="str">
            <v>1. Чугун</v>
          </cell>
          <cell r="BK40">
            <v>66.75</v>
          </cell>
          <cell r="BL40" t="str">
            <v>4.Шлакоблок</v>
          </cell>
          <cell r="BM40">
            <v>20821</v>
          </cell>
          <cell r="BN40">
            <v>20821</v>
          </cell>
          <cell r="BO40" t="str">
            <v>Оборудован</v>
          </cell>
          <cell r="BP40" t="str">
            <v>1.Абсоцемент(шифер)</v>
          </cell>
          <cell r="BQ40" t="str">
            <v>1.Скатная</v>
          </cell>
          <cell r="BR40">
            <v>354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 t="str">
            <v>3.Частный жилищный фонд</v>
          </cell>
          <cell r="BX40">
            <v>8</v>
          </cell>
          <cell r="BY40">
            <v>0</v>
          </cell>
          <cell r="BZ40" t="str">
            <v>3-я</v>
          </cell>
          <cell r="CA40">
            <v>1</v>
          </cell>
          <cell r="CB40">
            <v>27.01</v>
          </cell>
          <cell r="CC40">
            <v>27.009994506835938</v>
          </cell>
          <cell r="CD40">
            <v>27.009994506835938</v>
          </cell>
          <cell r="CE40">
            <v>27.009994506835938</v>
          </cell>
          <cell r="CF40" t="str">
            <v>ООО "Гранд"</v>
          </cell>
          <cell r="CG40">
            <v>8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1</v>
          </cell>
          <cell r="CM40">
            <v>8</v>
          </cell>
          <cell r="CN40">
            <v>31.5</v>
          </cell>
          <cell r="CO40">
            <v>0</v>
          </cell>
          <cell r="CP40">
            <v>31.5</v>
          </cell>
          <cell r="CQ40">
            <v>31.5</v>
          </cell>
          <cell r="CR40">
            <v>31.5</v>
          </cell>
          <cell r="CS40">
            <v>0</v>
          </cell>
          <cell r="CT40">
            <v>8</v>
          </cell>
          <cell r="CU40">
            <v>0</v>
          </cell>
          <cell r="CV40">
            <v>0</v>
          </cell>
          <cell r="CW40">
            <v>0</v>
          </cell>
          <cell r="CX40">
            <v>1</v>
          </cell>
          <cell r="CY40">
            <v>1</v>
          </cell>
          <cell r="CZ40">
            <v>1704</v>
          </cell>
          <cell r="DA40" t="str">
            <v>Демский</v>
          </cell>
          <cell r="DB40" t="str">
            <v>3.Сборные ж/б панели</v>
          </cell>
          <cell r="DC40">
            <v>1704</v>
          </cell>
          <cell r="DD40">
            <v>1704</v>
          </cell>
          <cell r="DE40">
            <v>1704</v>
          </cell>
          <cell r="DF40">
            <v>1704</v>
          </cell>
          <cell r="DG40">
            <v>1704</v>
          </cell>
          <cell r="DH40">
            <v>1704</v>
          </cell>
          <cell r="DI40">
            <v>1704</v>
          </cell>
          <cell r="DJ40">
            <v>1704</v>
          </cell>
          <cell r="DK40">
            <v>0</v>
          </cell>
          <cell r="DL40">
            <v>0</v>
          </cell>
          <cell r="DM40">
            <v>628593</v>
          </cell>
          <cell r="DN40">
            <v>0</v>
          </cell>
          <cell r="DO40">
            <v>0</v>
          </cell>
          <cell r="DP40" t="str">
            <v>УЖХ</v>
          </cell>
          <cell r="DQ40">
            <v>35748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 t="str">
            <v>3.Зависимая схема</v>
          </cell>
          <cell r="EE40" t="str">
            <v>Верхний</v>
          </cell>
          <cell r="EF40">
            <v>0</v>
          </cell>
          <cell r="EG40">
            <v>0</v>
          </cell>
          <cell r="EH40">
            <v>0</v>
          </cell>
          <cell r="EI40">
            <v>576.29999999999995</v>
          </cell>
          <cell r="EJ40">
            <v>103.6</v>
          </cell>
          <cell r="EK40">
            <v>125.74</v>
          </cell>
          <cell r="EL40">
            <v>125.739990234375</v>
          </cell>
          <cell r="EM40">
            <v>56.5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20.25</v>
          </cell>
          <cell r="FB40">
            <v>1</v>
          </cell>
          <cell r="FC40">
            <v>1</v>
          </cell>
          <cell r="FD40">
            <v>0</v>
          </cell>
          <cell r="FE40">
            <v>0</v>
          </cell>
          <cell r="FF40">
            <v>15.48</v>
          </cell>
          <cell r="FG40">
            <v>15.479995727539063</v>
          </cell>
          <cell r="FH40" t="str">
            <v>С УЛК (ЖЭУ)</v>
          </cell>
          <cell r="FI40">
            <v>43647</v>
          </cell>
          <cell r="FJ40">
            <v>15477</v>
          </cell>
          <cell r="FK40">
            <v>15477</v>
          </cell>
          <cell r="FL40">
            <v>398.8</v>
          </cell>
          <cell r="FM40">
            <v>78.92</v>
          </cell>
          <cell r="FN40">
            <v>216.08</v>
          </cell>
          <cell r="FO40">
            <v>648.24</v>
          </cell>
        </row>
        <row r="41">
          <cell r="AI41" t="str">
            <v>Ул. Новороссийская дом 6</v>
          </cell>
          <cell r="AJ41">
            <v>648.23974609375</v>
          </cell>
          <cell r="AK41">
            <v>379.6</v>
          </cell>
          <cell r="AL41">
            <v>246.6</v>
          </cell>
          <cell r="AM41">
            <v>1</v>
          </cell>
          <cell r="AN41">
            <v>1</v>
          </cell>
          <cell r="AO41" t="str">
            <v>АО УЖХ Демского района</v>
          </cell>
          <cell r="AP41">
            <v>379.6</v>
          </cell>
          <cell r="AQ41">
            <v>0</v>
          </cell>
          <cell r="AR41">
            <v>28.6</v>
          </cell>
          <cell r="AS41">
            <v>0</v>
          </cell>
          <cell r="AT41">
            <v>8</v>
          </cell>
          <cell r="AU41">
            <v>2</v>
          </cell>
          <cell r="AV41">
            <v>25</v>
          </cell>
          <cell r="AW41">
            <v>0</v>
          </cell>
          <cell r="AX41">
            <v>0</v>
          </cell>
          <cell r="AY41">
            <v>0</v>
          </cell>
          <cell r="AZ41">
            <v>327.44</v>
          </cell>
          <cell r="BA41">
            <v>357.31</v>
          </cell>
          <cell r="BB41">
            <v>357.309814453125</v>
          </cell>
          <cell r="BC41" t="str">
            <v>Непосредственное</v>
          </cell>
          <cell r="BD41" t="str">
            <v>1. Жилой дом</v>
          </cell>
          <cell r="BE41">
            <v>66.75</v>
          </cell>
          <cell r="BF41" t="str">
            <v>2.Чёрный</v>
          </cell>
          <cell r="BG41">
            <v>66.75</v>
          </cell>
          <cell r="BH41" t="str">
            <v>3.Водяной</v>
          </cell>
          <cell r="BI41" t="str">
            <v>МУП УИС</v>
          </cell>
          <cell r="BJ41" t="str">
            <v>1. Чугун</v>
          </cell>
          <cell r="BK41">
            <v>66.75</v>
          </cell>
          <cell r="BL41" t="str">
            <v>4.Шлакоблок</v>
          </cell>
          <cell r="BM41">
            <v>20821</v>
          </cell>
          <cell r="BN41">
            <v>20821</v>
          </cell>
          <cell r="BO41" t="str">
            <v>Не оборудован</v>
          </cell>
          <cell r="BP41" t="str">
            <v>1.Абсоцемент(шифер)</v>
          </cell>
          <cell r="BQ41" t="str">
            <v>1.Скатная</v>
          </cell>
          <cell r="BR41">
            <v>354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 t="str">
            <v>3.Частный жилищный фонд</v>
          </cell>
          <cell r="BX41">
            <v>8</v>
          </cell>
          <cell r="BY41">
            <v>0</v>
          </cell>
          <cell r="BZ41" t="str">
            <v>3-я</v>
          </cell>
          <cell r="CA41">
            <v>1</v>
          </cell>
          <cell r="CB41">
            <v>27.01</v>
          </cell>
          <cell r="CC41">
            <v>1</v>
          </cell>
          <cell r="CD41">
            <v>1</v>
          </cell>
          <cell r="CE41">
            <v>1</v>
          </cell>
          <cell r="CF41" t="str">
            <v>ООО "Гранд"</v>
          </cell>
          <cell r="CG41">
            <v>8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1</v>
          </cell>
          <cell r="CM41">
            <v>9</v>
          </cell>
          <cell r="CN41">
            <v>28.6</v>
          </cell>
          <cell r="CO41">
            <v>0</v>
          </cell>
          <cell r="CP41">
            <v>28.6</v>
          </cell>
          <cell r="CQ41">
            <v>28.599990844726563</v>
          </cell>
          <cell r="CR41">
            <v>28.599990844726563</v>
          </cell>
          <cell r="CS41">
            <v>0</v>
          </cell>
          <cell r="CT41">
            <v>8</v>
          </cell>
          <cell r="CU41">
            <v>0</v>
          </cell>
          <cell r="CV41">
            <v>0</v>
          </cell>
          <cell r="CW41">
            <v>0</v>
          </cell>
          <cell r="CX41">
            <v>1</v>
          </cell>
          <cell r="CY41">
            <v>1</v>
          </cell>
          <cell r="CZ41">
            <v>1778</v>
          </cell>
          <cell r="DA41" t="str">
            <v>Демский</v>
          </cell>
          <cell r="DB41" t="str">
            <v>3.Сборные ж/б панели</v>
          </cell>
          <cell r="DC41">
            <v>1778</v>
          </cell>
          <cell r="DD41">
            <v>1778</v>
          </cell>
          <cell r="DE41">
            <v>1778</v>
          </cell>
          <cell r="DF41">
            <v>1778</v>
          </cell>
          <cell r="DG41">
            <v>1778</v>
          </cell>
          <cell r="DH41">
            <v>1778</v>
          </cell>
          <cell r="DI41">
            <v>1778</v>
          </cell>
          <cell r="DJ41">
            <v>1778</v>
          </cell>
          <cell r="DK41">
            <v>0</v>
          </cell>
          <cell r="DL41">
            <v>0</v>
          </cell>
          <cell r="DM41">
            <v>655891</v>
          </cell>
          <cell r="DN41">
            <v>0</v>
          </cell>
          <cell r="DO41">
            <v>0</v>
          </cell>
          <cell r="DP41" t="str">
            <v>УЖХ</v>
          </cell>
          <cell r="DQ41">
            <v>35748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 t="str">
            <v>3.Зависимая схема</v>
          </cell>
          <cell r="EE41" t="str">
            <v>Верхний</v>
          </cell>
          <cell r="EF41">
            <v>0</v>
          </cell>
          <cell r="EG41">
            <v>0</v>
          </cell>
          <cell r="EH41">
            <v>0</v>
          </cell>
          <cell r="EI41">
            <v>357.31</v>
          </cell>
          <cell r="EJ41">
            <v>96.91</v>
          </cell>
          <cell r="EK41">
            <v>161.72999999999999</v>
          </cell>
          <cell r="EL41">
            <v>161.72998046875</v>
          </cell>
          <cell r="EM41">
            <v>41.8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27</v>
          </cell>
          <cell r="FB41">
            <v>1</v>
          </cell>
          <cell r="FC41">
            <v>1</v>
          </cell>
          <cell r="FD41">
            <v>0</v>
          </cell>
          <cell r="FE41">
            <v>0</v>
          </cell>
          <cell r="FF41">
            <v>16.62</v>
          </cell>
          <cell r="FG41">
            <v>16.6199951171875</v>
          </cell>
          <cell r="FH41" t="str">
            <v>С УЛК (ЖЭУ)</v>
          </cell>
          <cell r="FI41">
            <v>43647</v>
          </cell>
          <cell r="FJ41">
            <v>15477</v>
          </cell>
          <cell r="FK41">
            <v>15477</v>
          </cell>
          <cell r="FL41">
            <v>408.2</v>
          </cell>
          <cell r="FM41">
            <v>78.92</v>
          </cell>
          <cell r="FN41">
            <v>847.44</v>
          </cell>
          <cell r="FO41">
            <v>2542.3200000000002</v>
          </cell>
        </row>
        <row r="42">
          <cell r="AI42" t="str">
            <v>Ул. Правды дом 18/2</v>
          </cell>
          <cell r="AJ42">
            <v>2542.318359375</v>
          </cell>
          <cell r="AK42">
            <v>1087.4000000000001</v>
          </cell>
          <cell r="AL42">
            <v>1055.3</v>
          </cell>
          <cell r="AM42">
            <v>1</v>
          </cell>
          <cell r="AN42">
            <v>1</v>
          </cell>
          <cell r="AO42" t="str">
            <v>АО УЖХ Демского района</v>
          </cell>
          <cell r="AP42">
            <v>994.1</v>
          </cell>
          <cell r="AQ42">
            <v>93.3</v>
          </cell>
          <cell r="AR42">
            <v>139.19999999999999</v>
          </cell>
          <cell r="AS42">
            <v>1328.6</v>
          </cell>
          <cell r="AT42">
            <v>86</v>
          </cell>
          <cell r="AU42">
            <v>5</v>
          </cell>
          <cell r="AV42">
            <v>111</v>
          </cell>
          <cell r="AW42">
            <v>111</v>
          </cell>
          <cell r="AX42">
            <v>111</v>
          </cell>
          <cell r="AY42">
            <v>111</v>
          </cell>
          <cell r="AZ42">
            <v>888.4</v>
          </cell>
          <cell r="BA42">
            <v>974.2</v>
          </cell>
          <cell r="BB42">
            <v>974.19970703125</v>
          </cell>
          <cell r="BC42" t="str">
            <v>Управляющая компания</v>
          </cell>
          <cell r="BD42" t="str">
            <v>3.Общежитие</v>
          </cell>
          <cell r="BE42">
            <v>40.6</v>
          </cell>
          <cell r="BF42" t="str">
            <v>1.Оцинкованный</v>
          </cell>
          <cell r="BG42" t="str">
            <v>2.Чёрный</v>
          </cell>
          <cell r="BH42" t="str">
            <v>3.Водяной</v>
          </cell>
          <cell r="BI42" t="str">
            <v>МУП УИС</v>
          </cell>
          <cell r="BJ42" t="str">
            <v>1. Чугун</v>
          </cell>
          <cell r="BK42">
            <v>40.5999755859375</v>
          </cell>
          <cell r="BL42" t="str">
            <v>2.Кирпич</v>
          </cell>
          <cell r="BM42">
            <v>26665</v>
          </cell>
          <cell r="BN42">
            <v>26665</v>
          </cell>
          <cell r="BO42" t="str">
            <v>Не оборудован</v>
          </cell>
          <cell r="BP42" t="str">
            <v>4.Мягк/рулонная</v>
          </cell>
          <cell r="BQ42" t="str">
            <v>2.Плоская</v>
          </cell>
          <cell r="BR42">
            <v>481.1</v>
          </cell>
          <cell r="BS42">
            <v>481.1</v>
          </cell>
          <cell r="BT42">
            <v>481.099853515625</v>
          </cell>
          <cell r="BU42">
            <v>481.099853515625</v>
          </cell>
          <cell r="BV42">
            <v>481.099853515625</v>
          </cell>
          <cell r="BW42" t="str">
            <v>3.Частный жилищный фонд</v>
          </cell>
          <cell r="BX42">
            <v>82</v>
          </cell>
          <cell r="BY42">
            <v>82</v>
          </cell>
          <cell r="BZ42" t="str">
            <v>2-я</v>
          </cell>
          <cell r="CA42">
            <v>1</v>
          </cell>
          <cell r="CB42">
            <v>27.01</v>
          </cell>
          <cell r="CC42">
            <v>27.009994506835938</v>
          </cell>
          <cell r="CD42">
            <v>1087.4000000000001</v>
          </cell>
          <cell r="CE42">
            <v>1087.3994140625</v>
          </cell>
          <cell r="CF42" t="str">
            <v>ООО "Сфера"</v>
          </cell>
          <cell r="CG42">
            <v>75</v>
          </cell>
          <cell r="CH42">
            <v>7</v>
          </cell>
          <cell r="CI42" t="str">
            <v>Общежитие Блочный, секционный тип</v>
          </cell>
          <cell r="CJ42">
            <v>7</v>
          </cell>
          <cell r="CK42">
            <v>0</v>
          </cell>
          <cell r="CL42">
            <v>0</v>
          </cell>
          <cell r="CM42">
            <v>82</v>
          </cell>
          <cell r="CN42">
            <v>1467.8</v>
          </cell>
          <cell r="CO42">
            <v>1467.8</v>
          </cell>
          <cell r="CP42">
            <v>1948.9</v>
          </cell>
          <cell r="CQ42">
            <v>1948.8994140625</v>
          </cell>
          <cell r="CR42">
            <v>1948.8994140625</v>
          </cell>
          <cell r="CS42">
            <v>1</v>
          </cell>
          <cell r="CT42">
            <v>82</v>
          </cell>
          <cell r="CU42">
            <v>82</v>
          </cell>
          <cell r="CV42">
            <v>3</v>
          </cell>
          <cell r="CW42">
            <v>3</v>
          </cell>
          <cell r="CX42">
            <v>1</v>
          </cell>
          <cell r="CY42">
            <v>1</v>
          </cell>
          <cell r="CZ42">
            <v>10633</v>
          </cell>
          <cell r="DA42" t="str">
            <v>Демский</v>
          </cell>
          <cell r="DB42" t="str">
            <v>3.Сборные ж/б панели</v>
          </cell>
          <cell r="DC42">
            <v>10633</v>
          </cell>
          <cell r="DD42">
            <v>1</v>
          </cell>
          <cell r="DE42">
            <v>13367</v>
          </cell>
          <cell r="DF42" t="str">
            <v>Пластинчатый</v>
          </cell>
          <cell r="DG42" t="str">
            <v>ГВС</v>
          </cell>
          <cell r="DH42" t="str">
            <v>АНО ЦЭС ЮГ</v>
          </cell>
          <cell r="DI42">
            <v>1</v>
          </cell>
          <cell r="DJ42">
            <v>1</v>
          </cell>
          <cell r="DK42">
            <v>1</v>
          </cell>
          <cell r="DL42">
            <v>1</v>
          </cell>
          <cell r="DM42">
            <v>1</v>
          </cell>
          <cell r="DN42">
            <v>1</v>
          </cell>
          <cell r="DO42" t="str">
            <v>Отсутствует</v>
          </cell>
          <cell r="DP42" t="str">
            <v>УЖХ</v>
          </cell>
          <cell r="DQ42">
            <v>36314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48</v>
          </cell>
          <cell r="DX42">
            <v>85</v>
          </cell>
          <cell r="DY42">
            <v>85</v>
          </cell>
          <cell r="DZ42">
            <v>145</v>
          </cell>
          <cell r="EA42">
            <v>145</v>
          </cell>
          <cell r="EB42">
            <v>0</v>
          </cell>
          <cell r="EC42">
            <v>0</v>
          </cell>
          <cell r="ED42" t="str">
            <v>3.Зависимая схема</v>
          </cell>
          <cell r="EE42" t="str">
            <v>Нижний</v>
          </cell>
          <cell r="EF42">
            <v>0</v>
          </cell>
          <cell r="EG42">
            <v>0</v>
          </cell>
          <cell r="EH42">
            <v>0</v>
          </cell>
          <cell r="EI42">
            <v>974.2</v>
          </cell>
          <cell r="EJ42">
            <v>0</v>
          </cell>
          <cell r="EK42">
            <v>794.3</v>
          </cell>
          <cell r="EL42">
            <v>0</v>
          </cell>
          <cell r="EM42">
            <v>94.1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33.21</v>
          </cell>
          <cell r="FG42">
            <v>2</v>
          </cell>
          <cell r="FH42">
            <v>2</v>
          </cell>
          <cell r="FI42">
            <v>43586</v>
          </cell>
          <cell r="FJ42">
            <v>15477</v>
          </cell>
          <cell r="FK42">
            <v>15477</v>
          </cell>
          <cell r="FL42">
            <v>3036.3</v>
          </cell>
          <cell r="FM42">
            <v>78.92</v>
          </cell>
          <cell r="FN42">
            <v>2322.86</v>
          </cell>
          <cell r="FO42">
            <v>6968.58</v>
          </cell>
        </row>
        <row r="43">
          <cell r="AI43" t="str">
            <v>Ул. Новороссийская дом 8</v>
          </cell>
          <cell r="AJ43">
            <v>6968.578125</v>
          </cell>
          <cell r="AK43">
            <v>378.1</v>
          </cell>
          <cell r="AL43">
            <v>250.5</v>
          </cell>
          <cell r="AM43">
            <v>1</v>
          </cell>
          <cell r="AN43">
            <v>1</v>
          </cell>
          <cell r="AO43" t="str">
            <v>АО УЖХ Демского района</v>
          </cell>
          <cell r="AP43">
            <v>331.4</v>
          </cell>
          <cell r="AQ43">
            <v>46.8</v>
          </cell>
          <cell r="AR43">
            <v>28</v>
          </cell>
          <cell r="AS43">
            <v>0</v>
          </cell>
          <cell r="AT43">
            <v>8</v>
          </cell>
          <cell r="AU43">
            <v>2</v>
          </cell>
          <cell r="AV43">
            <v>24</v>
          </cell>
          <cell r="AW43">
            <v>0</v>
          </cell>
          <cell r="AX43">
            <v>0</v>
          </cell>
          <cell r="AY43">
            <v>0</v>
          </cell>
          <cell r="AZ43">
            <v>343.89</v>
          </cell>
          <cell r="BA43">
            <v>434.06</v>
          </cell>
          <cell r="BB43">
            <v>434.059814453125</v>
          </cell>
          <cell r="BC43" t="str">
            <v>Непосредственное</v>
          </cell>
          <cell r="BD43" t="str">
            <v>1. Жилой дом</v>
          </cell>
          <cell r="BE43">
            <v>66.75</v>
          </cell>
          <cell r="BF43" t="str">
            <v>2.Чёрный</v>
          </cell>
          <cell r="BG43">
            <v>66.75</v>
          </cell>
          <cell r="BH43" t="str">
            <v>3.Водяной</v>
          </cell>
          <cell r="BI43" t="str">
            <v>МУП УИС</v>
          </cell>
          <cell r="BJ43" t="str">
            <v>1. Чугун</v>
          </cell>
          <cell r="BK43">
            <v>66.75</v>
          </cell>
          <cell r="BL43" t="str">
            <v>4.Шлакоблок</v>
          </cell>
          <cell r="BM43">
            <v>20821</v>
          </cell>
          <cell r="BN43">
            <v>20821</v>
          </cell>
          <cell r="BO43" t="str">
            <v>Не оборудован</v>
          </cell>
          <cell r="BP43" t="str">
            <v>8.Профнастил</v>
          </cell>
          <cell r="BQ43" t="str">
            <v>1.Скатная</v>
          </cell>
          <cell r="BR43">
            <v>354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 t="str">
            <v>3.Частный жилищный фонд</v>
          </cell>
          <cell r="BX43">
            <v>8</v>
          </cell>
          <cell r="BY43">
            <v>0</v>
          </cell>
          <cell r="BZ43" t="str">
            <v>3-я</v>
          </cell>
          <cell r="CA43">
            <v>1</v>
          </cell>
          <cell r="CB43">
            <v>27.01</v>
          </cell>
          <cell r="CC43">
            <v>1</v>
          </cell>
          <cell r="CD43">
            <v>1</v>
          </cell>
          <cell r="CE43">
            <v>1</v>
          </cell>
          <cell r="CF43" t="str">
            <v>ООО "Гранд"</v>
          </cell>
          <cell r="CG43">
            <v>7</v>
          </cell>
          <cell r="CH43">
            <v>1</v>
          </cell>
          <cell r="CI43">
            <v>1</v>
          </cell>
          <cell r="CJ43">
            <v>1</v>
          </cell>
          <cell r="CK43">
            <v>0</v>
          </cell>
          <cell r="CL43">
            <v>0</v>
          </cell>
          <cell r="CM43">
            <v>8</v>
          </cell>
          <cell r="CN43">
            <v>28</v>
          </cell>
          <cell r="CO43">
            <v>0</v>
          </cell>
          <cell r="CP43">
            <v>28</v>
          </cell>
          <cell r="CQ43">
            <v>28</v>
          </cell>
          <cell r="CR43">
            <v>28</v>
          </cell>
          <cell r="CS43">
            <v>0</v>
          </cell>
          <cell r="CT43">
            <v>8</v>
          </cell>
          <cell r="CU43">
            <v>0</v>
          </cell>
          <cell r="CV43">
            <v>0</v>
          </cell>
          <cell r="CW43">
            <v>0</v>
          </cell>
          <cell r="CX43">
            <v>1</v>
          </cell>
          <cell r="CY43">
            <v>1</v>
          </cell>
          <cell r="CZ43">
            <v>1989</v>
          </cell>
          <cell r="DA43" t="str">
            <v>Демский</v>
          </cell>
          <cell r="DB43" t="str">
            <v>3.Сборные ж/б панели</v>
          </cell>
          <cell r="DC43">
            <v>1989</v>
          </cell>
          <cell r="DD43">
            <v>1989</v>
          </cell>
          <cell r="DE43">
            <v>1989</v>
          </cell>
          <cell r="DF43">
            <v>1989</v>
          </cell>
          <cell r="DG43">
            <v>1989</v>
          </cell>
          <cell r="DH43">
            <v>1989</v>
          </cell>
          <cell r="DI43">
            <v>1989</v>
          </cell>
          <cell r="DJ43">
            <v>1989</v>
          </cell>
          <cell r="DK43">
            <v>0</v>
          </cell>
          <cell r="DL43">
            <v>0</v>
          </cell>
          <cell r="DM43">
            <v>73828</v>
          </cell>
          <cell r="DN43">
            <v>0</v>
          </cell>
          <cell r="DO43">
            <v>0</v>
          </cell>
          <cell r="DP43" t="str">
            <v>УЖХ</v>
          </cell>
          <cell r="DQ43">
            <v>35540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 t="str">
            <v>3.Зависимая схема</v>
          </cell>
          <cell r="EE43" t="str">
            <v>Верхний</v>
          </cell>
          <cell r="EF43">
            <v>0</v>
          </cell>
          <cell r="EG43">
            <v>0</v>
          </cell>
          <cell r="EH43">
            <v>0</v>
          </cell>
          <cell r="EI43">
            <v>434.06</v>
          </cell>
          <cell r="EJ43">
            <v>109.52</v>
          </cell>
          <cell r="EK43">
            <v>129.91999999999999</v>
          </cell>
          <cell r="EL43">
            <v>129.919921875</v>
          </cell>
          <cell r="EM43">
            <v>56.5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47.95</v>
          </cell>
          <cell r="FB43">
            <v>1</v>
          </cell>
          <cell r="FC43">
            <v>1</v>
          </cell>
          <cell r="FD43">
            <v>0</v>
          </cell>
          <cell r="FE43">
            <v>0</v>
          </cell>
          <cell r="FF43">
            <v>21.35</v>
          </cell>
          <cell r="FG43">
            <v>21.349990844726563</v>
          </cell>
          <cell r="FH43" t="str">
            <v>С УЛК (ЖЭУ)</v>
          </cell>
          <cell r="FI43">
            <v>43647</v>
          </cell>
          <cell r="FJ43">
            <v>15477</v>
          </cell>
          <cell r="FK43">
            <v>15477</v>
          </cell>
          <cell r="FL43">
            <v>406.1</v>
          </cell>
          <cell r="FM43">
            <v>78.92</v>
          </cell>
          <cell r="FN43">
            <v>847.44</v>
          </cell>
          <cell r="FO43">
            <v>2542.3200000000002</v>
          </cell>
        </row>
        <row r="44">
          <cell r="AI44" t="str">
            <v>Ул. Новороссийская дом 10</v>
          </cell>
          <cell r="AJ44">
            <v>2542.318359375</v>
          </cell>
          <cell r="AK44">
            <v>377.7</v>
          </cell>
          <cell r="AL44">
            <v>244.3</v>
          </cell>
          <cell r="AM44">
            <v>1</v>
          </cell>
          <cell r="AN44">
            <v>1</v>
          </cell>
          <cell r="AO44" t="str">
            <v>АО УЖХ Демского района</v>
          </cell>
          <cell r="AP44">
            <v>375.7</v>
          </cell>
          <cell r="AQ44">
            <v>0</v>
          </cell>
          <cell r="AR44">
            <v>32.200000000000003</v>
          </cell>
          <cell r="AS44">
            <v>0</v>
          </cell>
          <cell r="AT44">
            <v>8</v>
          </cell>
          <cell r="AU44">
            <v>2</v>
          </cell>
          <cell r="AV44">
            <v>16</v>
          </cell>
          <cell r="AW44">
            <v>0</v>
          </cell>
          <cell r="AX44">
            <v>0</v>
          </cell>
          <cell r="AY44">
            <v>0</v>
          </cell>
          <cell r="AZ44">
            <v>295.87</v>
          </cell>
          <cell r="BA44">
            <v>534.73</v>
          </cell>
          <cell r="BB44">
            <v>534.72998046875</v>
          </cell>
          <cell r="BC44" t="str">
            <v>Непосредственное</v>
          </cell>
          <cell r="BD44" t="str">
            <v>1. Жилой дом</v>
          </cell>
          <cell r="BE44">
            <v>66.75</v>
          </cell>
          <cell r="BF44" t="str">
            <v>2.Чёрный</v>
          </cell>
          <cell r="BG44">
            <v>66.75</v>
          </cell>
          <cell r="BH44" t="str">
            <v>3.Водяной</v>
          </cell>
          <cell r="BI44" t="str">
            <v>МУП УИС</v>
          </cell>
          <cell r="BJ44" t="str">
            <v>1. Чугун</v>
          </cell>
          <cell r="BK44">
            <v>66.75</v>
          </cell>
          <cell r="BL44" t="str">
            <v>4.Шлакоблок</v>
          </cell>
          <cell r="BM44">
            <v>20821</v>
          </cell>
          <cell r="BN44">
            <v>20821</v>
          </cell>
          <cell r="BO44" t="str">
            <v>Не оборудован</v>
          </cell>
          <cell r="BP44" t="str">
            <v>8.Профнастил</v>
          </cell>
          <cell r="BQ44" t="str">
            <v>1.Скатная</v>
          </cell>
          <cell r="BR44">
            <v>354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 t="str">
            <v>3.Частный жилищный фонд</v>
          </cell>
          <cell r="BX44">
            <v>8</v>
          </cell>
          <cell r="BY44">
            <v>0</v>
          </cell>
          <cell r="BZ44" t="str">
            <v>3-я</v>
          </cell>
          <cell r="CA44">
            <v>1</v>
          </cell>
          <cell r="CB44">
            <v>27.01</v>
          </cell>
          <cell r="CC44">
            <v>27.009994506835938</v>
          </cell>
          <cell r="CD44">
            <v>27.009994506835938</v>
          </cell>
          <cell r="CE44">
            <v>27.009994506835938</v>
          </cell>
          <cell r="CF44" t="str">
            <v>ООО "Гранд"</v>
          </cell>
          <cell r="CG44">
            <v>8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11</v>
          </cell>
          <cell r="CN44">
            <v>32.200000000000003</v>
          </cell>
          <cell r="CO44">
            <v>0</v>
          </cell>
          <cell r="CP44">
            <v>32.200000000000003</v>
          </cell>
          <cell r="CQ44">
            <v>32.199981689453125</v>
          </cell>
          <cell r="CR44">
            <v>32.199981689453125</v>
          </cell>
          <cell r="CS44">
            <v>0</v>
          </cell>
          <cell r="CT44">
            <v>8</v>
          </cell>
          <cell r="CU44">
            <v>0</v>
          </cell>
          <cell r="CV44">
            <v>0</v>
          </cell>
          <cell r="CW44">
            <v>0</v>
          </cell>
          <cell r="CX44">
            <v>1</v>
          </cell>
          <cell r="CY44">
            <v>1</v>
          </cell>
          <cell r="CZ44">
            <v>1797</v>
          </cell>
          <cell r="DA44" t="str">
            <v>Демский</v>
          </cell>
          <cell r="DB44" t="str">
            <v>3.Сборные ж/б панели</v>
          </cell>
          <cell r="DC44">
            <v>1797</v>
          </cell>
          <cell r="DD44">
            <v>1797</v>
          </cell>
          <cell r="DE44">
            <v>1797</v>
          </cell>
          <cell r="DF44">
            <v>1797</v>
          </cell>
          <cell r="DG44">
            <v>1797</v>
          </cell>
          <cell r="DH44">
            <v>1797</v>
          </cell>
          <cell r="DI44">
            <v>1797</v>
          </cell>
          <cell r="DJ44">
            <v>1797</v>
          </cell>
          <cell r="DK44">
            <v>0</v>
          </cell>
          <cell r="DL44">
            <v>0</v>
          </cell>
          <cell r="DM44">
            <v>662900</v>
          </cell>
          <cell r="DN44">
            <v>0</v>
          </cell>
          <cell r="DO44">
            <v>0</v>
          </cell>
          <cell r="DP44" t="str">
            <v>УЖХ</v>
          </cell>
          <cell r="DQ44">
            <v>35784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 t="str">
            <v>3.Зависимая схема</v>
          </cell>
          <cell r="EE44" t="str">
            <v>Верхний</v>
          </cell>
          <cell r="EF44">
            <v>0</v>
          </cell>
          <cell r="EG44">
            <v>0</v>
          </cell>
          <cell r="EH44">
            <v>0</v>
          </cell>
          <cell r="EI44">
            <v>534.73</v>
          </cell>
          <cell r="EJ44">
            <v>117.29</v>
          </cell>
          <cell r="EK44">
            <v>101.8</v>
          </cell>
          <cell r="EL44">
            <v>101.79998779296875</v>
          </cell>
          <cell r="EM44">
            <v>41.8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34.979999999999997</v>
          </cell>
          <cell r="FB44">
            <v>1</v>
          </cell>
          <cell r="FC44">
            <v>1</v>
          </cell>
          <cell r="FD44">
            <v>0</v>
          </cell>
          <cell r="FE44">
            <v>0</v>
          </cell>
          <cell r="FF44">
            <v>21.34</v>
          </cell>
          <cell r="FG44">
            <v>21.339996337890625</v>
          </cell>
          <cell r="FH44" t="str">
            <v>С УЛК (ЖЭУ)</v>
          </cell>
          <cell r="FI44">
            <v>43647</v>
          </cell>
          <cell r="FJ44">
            <v>15477</v>
          </cell>
          <cell r="FK44">
            <v>15477</v>
          </cell>
          <cell r="FL44">
            <v>409.9</v>
          </cell>
          <cell r="FM44">
            <v>78.92</v>
          </cell>
          <cell r="FN44">
            <v>216.08</v>
          </cell>
          <cell r="FO44">
            <v>648.24</v>
          </cell>
        </row>
        <row r="45">
          <cell r="AI45" t="str">
            <v>Ул. Альшеевская дом 15</v>
          </cell>
          <cell r="AJ45">
            <v>648.23974609375</v>
          </cell>
          <cell r="AK45">
            <v>199</v>
          </cell>
          <cell r="AL45">
            <v>149.9</v>
          </cell>
          <cell r="AM45">
            <v>1</v>
          </cell>
          <cell r="AN45">
            <v>1</v>
          </cell>
          <cell r="AO45" t="str">
            <v>АО УЖХ Демского района</v>
          </cell>
          <cell r="AP45">
            <v>102.2</v>
          </cell>
          <cell r="AQ45">
            <v>96.7</v>
          </cell>
          <cell r="AR45">
            <v>0</v>
          </cell>
          <cell r="AS45">
            <v>0</v>
          </cell>
          <cell r="AT45">
            <v>4</v>
          </cell>
          <cell r="AU45">
            <v>2</v>
          </cell>
          <cell r="AV45">
            <v>13</v>
          </cell>
          <cell r="AW45">
            <v>13</v>
          </cell>
          <cell r="AX45">
            <v>13</v>
          </cell>
          <cell r="AY45">
            <v>13</v>
          </cell>
          <cell r="AZ45">
            <v>0</v>
          </cell>
          <cell r="BA45">
            <v>678.9</v>
          </cell>
          <cell r="BB45" t="str">
            <v>Пост №913 от 24.07.2020</v>
          </cell>
          <cell r="BC45" t="str">
            <v>Непосредственное</v>
          </cell>
          <cell r="BD45" t="str">
            <v>1. Жилой дом</v>
          </cell>
          <cell r="BE45">
            <v>100</v>
          </cell>
          <cell r="BF45" t="str">
            <v>4.Колонка уличная</v>
          </cell>
          <cell r="BG45">
            <v>100</v>
          </cell>
          <cell r="BH45" t="str">
            <v>3.Водяной</v>
          </cell>
          <cell r="BI45" t="str">
            <v>МУП УИС</v>
          </cell>
          <cell r="BJ45" t="str">
            <v>2. ПВХ</v>
          </cell>
          <cell r="BK45">
            <v>100</v>
          </cell>
          <cell r="BL45" t="str">
            <v>7.Бревенчатый</v>
          </cell>
          <cell r="BM45">
            <v>20455</v>
          </cell>
          <cell r="BN45">
            <v>20455</v>
          </cell>
          <cell r="BO45" t="str">
            <v>Не оборудован</v>
          </cell>
          <cell r="BP45" t="str">
            <v>1.Абсоцемент(шифер)</v>
          </cell>
          <cell r="BQ45" t="str">
            <v>1.Скатная</v>
          </cell>
          <cell r="BR45">
            <v>131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 t="str">
            <v>3.Частный жилищный фонд</v>
          </cell>
          <cell r="BX45">
            <v>4</v>
          </cell>
          <cell r="BY45">
            <v>4</v>
          </cell>
          <cell r="BZ45" t="str">
            <v>4-я</v>
          </cell>
          <cell r="CA45">
            <v>1</v>
          </cell>
          <cell r="CB45">
            <v>27.01</v>
          </cell>
          <cell r="CC45">
            <v>27.009994506835938</v>
          </cell>
          <cell r="CD45">
            <v>27.009994506835938</v>
          </cell>
          <cell r="CE45">
            <v>27.009994506835938</v>
          </cell>
          <cell r="CF45" t="str">
            <v>ООО "Дёма Комфорт"</v>
          </cell>
          <cell r="CG45">
            <v>2</v>
          </cell>
          <cell r="CH45">
            <v>2</v>
          </cell>
          <cell r="CI45" t="str">
            <v>Дом блокированной застройки</v>
          </cell>
          <cell r="CJ45">
            <v>2</v>
          </cell>
          <cell r="CK45">
            <v>0</v>
          </cell>
          <cell r="CL45">
            <v>0</v>
          </cell>
          <cell r="CM45">
            <v>5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4</v>
          </cell>
          <cell r="CU45">
            <v>4</v>
          </cell>
          <cell r="CV45">
            <v>0</v>
          </cell>
          <cell r="CW45">
            <v>0</v>
          </cell>
          <cell r="CX45">
            <v>1</v>
          </cell>
          <cell r="CY45">
            <v>0</v>
          </cell>
          <cell r="CZ45">
            <v>765</v>
          </cell>
          <cell r="DA45" t="str">
            <v>Демский</v>
          </cell>
          <cell r="DB45" t="str">
            <v>2.Деревянные</v>
          </cell>
          <cell r="DC45">
            <v>765</v>
          </cell>
          <cell r="DD45">
            <v>765</v>
          </cell>
          <cell r="DE45">
            <v>765</v>
          </cell>
          <cell r="DF45">
            <v>765</v>
          </cell>
          <cell r="DG45">
            <v>765</v>
          </cell>
          <cell r="DH45">
            <v>765</v>
          </cell>
          <cell r="DI45">
            <v>765</v>
          </cell>
          <cell r="DJ45">
            <v>765</v>
          </cell>
          <cell r="DK45">
            <v>0</v>
          </cell>
          <cell r="DL45">
            <v>0</v>
          </cell>
          <cell r="DM45">
            <v>148372</v>
          </cell>
          <cell r="DN45">
            <v>0</v>
          </cell>
          <cell r="DO45">
            <v>0</v>
          </cell>
          <cell r="DP45" t="str">
            <v>УЖХ</v>
          </cell>
          <cell r="DQ45">
            <v>39507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 t="str">
            <v>4. Независимая схема</v>
          </cell>
          <cell r="EE45" t="str">
            <v>Нижний</v>
          </cell>
          <cell r="EF45">
            <v>0</v>
          </cell>
          <cell r="EG45">
            <v>0</v>
          </cell>
          <cell r="EH45">
            <v>0</v>
          </cell>
          <cell r="EI45">
            <v>678.9</v>
          </cell>
          <cell r="EJ45">
            <v>678.89990234375</v>
          </cell>
          <cell r="EK45">
            <v>678.89990234375</v>
          </cell>
          <cell r="EL45">
            <v>678.89990234375</v>
          </cell>
          <cell r="EM45">
            <v>678.89990234375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17.23</v>
          </cell>
          <cell r="FG45">
            <v>17.229995727539063</v>
          </cell>
          <cell r="FH45" t="str">
            <v>С УЛК (ЖЭУ)</v>
          </cell>
          <cell r="FI45">
            <v>43647</v>
          </cell>
          <cell r="FJ45">
            <v>15477</v>
          </cell>
          <cell r="FK45">
            <v>11109</v>
          </cell>
          <cell r="FL45">
            <v>199</v>
          </cell>
          <cell r="FM45">
            <v>78.92</v>
          </cell>
          <cell r="FN45">
            <v>108.04</v>
          </cell>
          <cell r="FO45">
            <v>324.12</v>
          </cell>
        </row>
        <row r="46">
          <cell r="AI46" t="str">
            <v>Ул. Дагестанская дом 27</v>
          </cell>
          <cell r="AJ46">
            <v>324.119873046875</v>
          </cell>
          <cell r="AK46">
            <v>5712.1</v>
          </cell>
          <cell r="AL46">
            <v>3330</v>
          </cell>
          <cell r="AM46">
            <v>3</v>
          </cell>
          <cell r="AN46">
            <v>3</v>
          </cell>
          <cell r="AO46" t="str">
            <v>АО УЖХ Демского района</v>
          </cell>
          <cell r="AP46">
            <v>5711.5</v>
          </cell>
          <cell r="AQ46">
            <v>0</v>
          </cell>
          <cell r="AR46">
            <v>482.4</v>
          </cell>
          <cell r="AS46">
            <v>618.9</v>
          </cell>
          <cell r="AT46">
            <v>108</v>
          </cell>
          <cell r="AU46">
            <v>9</v>
          </cell>
          <cell r="AV46">
            <v>281</v>
          </cell>
          <cell r="AW46">
            <v>0</v>
          </cell>
          <cell r="AX46" t="str">
            <v>отказ от услуги</v>
          </cell>
          <cell r="AY46">
            <v>0</v>
          </cell>
          <cell r="AZ46">
            <v>1519</v>
          </cell>
          <cell r="BA46">
            <v>1963.9</v>
          </cell>
          <cell r="BB46">
            <v>1963.8994140625</v>
          </cell>
          <cell r="BC46" t="str">
            <v>Управляющая компания</v>
          </cell>
          <cell r="BD46" t="str">
            <v>1. Жилой дом</v>
          </cell>
          <cell r="BE46">
            <v>27</v>
          </cell>
          <cell r="BF46" t="str">
            <v>2.Чёрный</v>
          </cell>
          <cell r="BG46" t="str">
            <v>2.Чёрный</v>
          </cell>
          <cell r="BH46" t="str">
            <v>3.Водяной</v>
          </cell>
          <cell r="BI46" t="str">
            <v>МУП УИС</v>
          </cell>
          <cell r="BJ46" t="str">
            <v>1. Чугун</v>
          </cell>
          <cell r="BK46">
            <v>3</v>
          </cell>
          <cell r="BL46" t="str">
            <v>9.Крупнопанел/блок</v>
          </cell>
          <cell r="BM46">
            <v>32874</v>
          </cell>
          <cell r="BN46">
            <v>32874</v>
          </cell>
          <cell r="BO46" t="str">
            <v>Оборудован</v>
          </cell>
          <cell r="BP46" t="str">
            <v>4.Мягк/рулонная</v>
          </cell>
          <cell r="BQ46" t="str">
            <v>2.Плоская</v>
          </cell>
          <cell r="BR46">
            <v>1022</v>
          </cell>
          <cell r="BS46">
            <v>780.2</v>
          </cell>
          <cell r="BT46">
            <v>780.19970703125</v>
          </cell>
          <cell r="BU46">
            <v>780.19970703125</v>
          </cell>
          <cell r="BV46">
            <v>0</v>
          </cell>
          <cell r="BW46" t="str">
            <v>3.Частный жилищный фонд</v>
          </cell>
          <cell r="BX46">
            <v>108</v>
          </cell>
          <cell r="BY46">
            <v>0</v>
          </cell>
          <cell r="BZ46" t="str">
            <v>2-я</v>
          </cell>
          <cell r="CA46">
            <v>1</v>
          </cell>
          <cell r="CB46">
            <v>27.01</v>
          </cell>
          <cell r="CC46">
            <v>27.009994506835938</v>
          </cell>
          <cell r="CD46">
            <v>5711.5</v>
          </cell>
          <cell r="CE46">
            <v>5711.5</v>
          </cell>
          <cell r="CF46" t="str">
            <v>ООО "Сфера"</v>
          </cell>
          <cell r="CG46">
            <v>108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1</v>
          </cell>
          <cell r="CM46">
            <v>110</v>
          </cell>
          <cell r="CN46">
            <v>1101.3</v>
          </cell>
          <cell r="CO46">
            <v>1101.3</v>
          </cell>
          <cell r="CP46">
            <v>1881.5</v>
          </cell>
          <cell r="CQ46">
            <v>1881.5</v>
          </cell>
          <cell r="CR46">
            <v>1881.5</v>
          </cell>
          <cell r="CS46">
            <v>1</v>
          </cell>
          <cell r="CT46">
            <v>108</v>
          </cell>
          <cell r="CU46">
            <v>0</v>
          </cell>
          <cell r="CV46">
            <v>93</v>
          </cell>
          <cell r="CW46">
            <v>92</v>
          </cell>
          <cell r="CX46">
            <v>1</v>
          </cell>
          <cell r="CY46">
            <v>1</v>
          </cell>
          <cell r="CZ46">
            <v>25514</v>
          </cell>
          <cell r="DA46" t="str">
            <v>Демский</v>
          </cell>
          <cell r="DB46" t="str">
            <v>3.Сборные ж/б панели</v>
          </cell>
          <cell r="DC46">
            <v>25514</v>
          </cell>
          <cell r="DD46">
            <v>25514</v>
          </cell>
          <cell r="DE46">
            <v>25514</v>
          </cell>
          <cell r="DF46">
            <v>25514</v>
          </cell>
          <cell r="DG46">
            <v>25514</v>
          </cell>
          <cell r="DH46">
            <v>25514</v>
          </cell>
          <cell r="DI46">
            <v>25514</v>
          </cell>
          <cell r="DJ46" t="str">
            <v>АО УЖХ Демского района</v>
          </cell>
          <cell r="DK46">
            <v>25514</v>
          </cell>
          <cell r="DL46">
            <v>25514</v>
          </cell>
          <cell r="DM46">
            <v>10690214</v>
          </cell>
          <cell r="DN46">
            <v>3</v>
          </cell>
          <cell r="DO46" t="str">
            <v>ГВС</v>
          </cell>
          <cell r="DP46" t="str">
            <v>УЖХ</v>
          </cell>
          <cell r="DQ46">
            <v>38378</v>
          </cell>
          <cell r="DR46">
            <v>0</v>
          </cell>
          <cell r="DS46">
            <v>0</v>
          </cell>
          <cell r="DT46">
            <v>108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 t="str">
            <v>4. Независимая схема</v>
          </cell>
          <cell r="EE46" t="str">
            <v>Нижний</v>
          </cell>
          <cell r="EF46">
            <v>0</v>
          </cell>
          <cell r="EG46">
            <v>0</v>
          </cell>
          <cell r="EH46">
            <v>0</v>
          </cell>
          <cell r="EI46">
            <v>1783.9</v>
          </cell>
          <cell r="EJ46">
            <v>1783.8994140625</v>
          </cell>
          <cell r="EK46">
            <v>931.1</v>
          </cell>
          <cell r="EL46">
            <v>98.9</v>
          </cell>
          <cell r="EM46">
            <v>372.5</v>
          </cell>
          <cell r="EN46">
            <v>4</v>
          </cell>
          <cell r="EO46">
            <v>4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180</v>
          </cell>
          <cell r="EV46">
            <v>1</v>
          </cell>
          <cell r="EW46">
            <v>29.5</v>
          </cell>
          <cell r="EX46">
            <v>1</v>
          </cell>
          <cell r="EY46">
            <v>1</v>
          </cell>
          <cell r="EZ46">
            <v>0</v>
          </cell>
          <cell r="FA46">
            <v>87</v>
          </cell>
          <cell r="FB46">
            <v>1</v>
          </cell>
          <cell r="FC46">
            <v>1</v>
          </cell>
          <cell r="FD46">
            <v>0</v>
          </cell>
          <cell r="FE46">
            <v>0</v>
          </cell>
          <cell r="FF46">
            <v>18.739999999999998</v>
          </cell>
          <cell r="FG46">
            <v>2</v>
          </cell>
          <cell r="FH46">
            <v>2</v>
          </cell>
          <cell r="FI46">
            <v>43466</v>
          </cell>
          <cell r="FJ46">
            <v>15477</v>
          </cell>
          <cell r="FK46">
            <v>15477</v>
          </cell>
          <cell r="FL46">
            <v>7665.6</v>
          </cell>
          <cell r="FM46">
            <v>78.92</v>
          </cell>
          <cell r="FN46">
            <v>2917.0800000000004</v>
          </cell>
          <cell r="FO46">
            <v>8751.2400000000016</v>
          </cell>
        </row>
        <row r="47">
          <cell r="AI47" t="str">
            <v>Ул. Дагестанская дом 31</v>
          </cell>
          <cell r="AJ47">
            <v>8751.234375</v>
          </cell>
          <cell r="AK47">
            <v>5631.3</v>
          </cell>
          <cell r="AL47">
            <v>3268.8</v>
          </cell>
          <cell r="AM47">
            <v>3</v>
          </cell>
          <cell r="AN47">
            <v>3</v>
          </cell>
          <cell r="AO47" t="str">
            <v>АО УЖХ Демского района</v>
          </cell>
          <cell r="AP47">
            <v>5518.1</v>
          </cell>
          <cell r="AQ47">
            <v>113.2</v>
          </cell>
          <cell r="AR47">
            <v>482.4</v>
          </cell>
          <cell r="AS47">
            <v>618.9</v>
          </cell>
          <cell r="AT47">
            <v>108</v>
          </cell>
          <cell r="AU47">
            <v>9</v>
          </cell>
          <cell r="AV47">
            <v>289</v>
          </cell>
          <cell r="AW47">
            <v>0</v>
          </cell>
          <cell r="AX47" t="str">
            <v>отказ от услуги</v>
          </cell>
          <cell r="AY47">
            <v>0</v>
          </cell>
          <cell r="AZ47">
            <v>1289.5999999999999</v>
          </cell>
          <cell r="BA47">
            <v>3687.3</v>
          </cell>
          <cell r="BB47">
            <v>3687.298828125</v>
          </cell>
          <cell r="BC47" t="str">
            <v>Управляющая компания</v>
          </cell>
          <cell r="BD47" t="str">
            <v>1. Жилой дом</v>
          </cell>
          <cell r="BE47">
            <v>24.6</v>
          </cell>
          <cell r="BF47" t="str">
            <v>2.Чёрный</v>
          </cell>
          <cell r="BG47" t="str">
            <v>2.Чёрный</v>
          </cell>
          <cell r="BH47" t="str">
            <v>3.Водяной</v>
          </cell>
          <cell r="BI47" t="str">
            <v>МУП УИС</v>
          </cell>
          <cell r="BJ47" t="str">
            <v>1. Чугун</v>
          </cell>
          <cell r="BK47">
            <v>3</v>
          </cell>
          <cell r="BL47" t="str">
            <v>9.Крупнопанел/блок</v>
          </cell>
          <cell r="BM47">
            <v>33970</v>
          </cell>
          <cell r="BN47">
            <v>33970</v>
          </cell>
          <cell r="BO47" t="str">
            <v>Оборудован</v>
          </cell>
          <cell r="BP47" t="str">
            <v>4.Мягк/рулонная</v>
          </cell>
          <cell r="BQ47" t="str">
            <v>2.Плоская</v>
          </cell>
          <cell r="BR47">
            <v>845</v>
          </cell>
          <cell r="BS47">
            <v>781</v>
          </cell>
          <cell r="BT47">
            <v>781</v>
          </cell>
          <cell r="BU47">
            <v>781</v>
          </cell>
          <cell r="BV47">
            <v>0</v>
          </cell>
          <cell r="BW47" t="str">
            <v>3.Частный жилищный фонд</v>
          </cell>
          <cell r="BX47">
            <v>108</v>
          </cell>
          <cell r="BY47">
            <v>0</v>
          </cell>
          <cell r="BZ47" t="str">
            <v>2-я</v>
          </cell>
          <cell r="CA47">
            <v>1</v>
          </cell>
          <cell r="CB47">
            <v>27.01</v>
          </cell>
          <cell r="CC47">
            <v>27.009994506835938</v>
          </cell>
          <cell r="CD47">
            <v>5631.3</v>
          </cell>
          <cell r="CE47">
            <v>5631.296875</v>
          </cell>
          <cell r="CF47" t="str">
            <v>ООО "Сфера"</v>
          </cell>
          <cell r="CG47">
            <v>106</v>
          </cell>
          <cell r="CH47">
            <v>2</v>
          </cell>
          <cell r="CI47">
            <v>2</v>
          </cell>
          <cell r="CJ47">
            <v>2</v>
          </cell>
          <cell r="CK47">
            <v>3</v>
          </cell>
          <cell r="CL47">
            <v>1</v>
          </cell>
          <cell r="CM47">
            <v>108</v>
          </cell>
          <cell r="CN47">
            <v>1101.3</v>
          </cell>
          <cell r="CO47">
            <v>1101.3</v>
          </cell>
          <cell r="CP47">
            <v>1882.3</v>
          </cell>
          <cell r="CQ47">
            <v>1882.2998046875</v>
          </cell>
          <cell r="CR47">
            <v>1882.2998046875</v>
          </cell>
          <cell r="CS47">
            <v>1</v>
          </cell>
          <cell r="CT47">
            <v>108</v>
          </cell>
          <cell r="CU47">
            <v>0</v>
          </cell>
          <cell r="CV47">
            <v>95</v>
          </cell>
          <cell r="CW47">
            <v>98</v>
          </cell>
          <cell r="CX47">
            <v>1</v>
          </cell>
          <cell r="CY47">
            <v>1</v>
          </cell>
          <cell r="CZ47">
            <v>23059</v>
          </cell>
          <cell r="DA47" t="str">
            <v>Демский</v>
          </cell>
          <cell r="DB47" t="str">
            <v>3.Сборные ж/б панели</v>
          </cell>
          <cell r="DC47">
            <v>23059</v>
          </cell>
          <cell r="DD47">
            <v>23059</v>
          </cell>
          <cell r="DE47">
            <v>23059</v>
          </cell>
          <cell r="DF47">
            <v>23059</v>
          </cell>
          <cell r="DG47">
            <v>23059</v>
          </cell>
          <cell r="DH47">
            <v>23059</v>
          </cell>
          <cell r="DI47">
            <v>23059</v>
          </cell>
          <cell r="DJ47" t="str">
            <v>АО УЖХ Демского района</v>
          </cell>
          <cell r="DK47">
            <v>23059</v>
          </cell>
          <cell r="DL47">
            <v>1</v>
          </cell>
          <cell r="DM47">
            <v>11780438</v>
          </cell>
          <cell r="DN47">
            <v>3</v>
          </cell>
          <cell r="DO47" t="str">
            <v>ГВС</v>
          </cell>
          <cell r="DP47" t="str">
            <v>ЖРЭУ</v>
          </cell>
          <cell r="DQ47">
            <v>33970</v>
          </cell>
          <cell r="DR47">
            <v>0</v>
          </cell>
          <cell r="DS47">
            <v>0</v>
          </cell>
          <cell r="DT47">
            <v>108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 t="str">
            <v>4. Независимая схема</v>
          </cell>
          <cell r="EE47" t="str">
            <v>Нижний</v>
          </cell>
          <cell r="EF47">
            <v>0</v>
          </cell>
          <cell r="EG47">
            <v>0</v>
          </cell>
          <cell r="EH47">
            <v>3587.3</v>
          </cell>
          <cell r="EI47">
            <v>3587.298828125</v>
          </cell>
          <cell r="EJ47">
            <v>106.7</v>
          </cell>
          <cell r="EK47">
            <v>822.3</v>
          </cell>
          <cell r="EL47">
            <v>8.4</v>
          </cell>
          <cell r="EM47">
            <v>281.2</v>
          </cell>
          <cell r="EN47">
            <v>3</v>
          </cell>
          <cell r="EO47">
            <v>3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100</v>
          </cell>
          <cell r="EV47">
            <v>1</v>
          </cell>
          <cell r="EW47">
            <v>7</v>
          </cell>
          <cell r="EX47">
            <v>1</v>
          </cell>
          <cell r="EY47">
            <v>1</v>
          </cell>
          <cell r="EZ47">
            <v>0</v>
          </cell>
          <cell r="FA47">
            <v>64</v>
          </cell>
          <cell r="FB47">
            <v>1</v>
          </cell>
          <cell r="FC47">
            <v>1</v>
          </cell>
          <cell r="FD47">
            <v>0</v>
          </cell>
          <cell r="FE47">
            <v>0</v>
          </cell>
          <cell r="FF47">
            <v>8.4700000000000006</v>
          </cell>
          <cell r="FG47">
            <v>2</v>
          </cell>
          <cell r="FH47">
            <v>2</v>
          </cell>
          <cell r="FI47">
            <v>43466</v>
          </cell>
          <cell r="FJ47">
            <v>15477</v>
          </cell>
          <cell r="FK47">
            <v>15477</v>
          </cell>
          <cell r="FL47">
            <v>7585.6</v>
          </cell>
          <cell r="FM47">
            <v>78.92</v>
          </cell>
          <cell r="FN47">
            <v>2917.0800000000004</v>
          </cell>
          <cell r="FO47">
            <v>8751.2400000000016</v>
          </cell>
        </row>
        <row r="48">
          <cell r="AI48" t="str">
            <v>Ул. Рядовая дом 2</v>
          </cell>
          <cell r="AJ48">
            <v>8751.234375</v>
          </cell>
          <cell r="AK48">
            <v>531.29999999999995</v>
          </cell>
          <cell r="AL48">
            <v>531.29999999999995</v>
          </cell>
          <cell r="AM48">
            <v>1</v>
          </cell>
          <cell r="AN48">
            <v>1</v>
          </cell>
          <cell r="AO48" t="str">
            <v>АО УЖХ Демского района</v>
          </cell>
          <cell r="AP48">
            <v>489</v>
          </cell>
          <cell r="AQ48">
            <v>45</v>
          </cell>
          <cell r="AR48">
            <v>0</v>
          </cell>
          <cell r="AS48">
            <v>232.5</v>
          </cell>
          <cell r="AT48">
            <v>31</v>
          </cell>
          <cell r="AU48">
            <v>2</v>
          </cell>
          <cell r="AV48">
            <v>53</v>
          </cell>
          <cell r="AW48">
            <v>53</v>
          </cell>
          <cell r="AX48">
            <v>53</v>
          </cell>
          <cell r="AY48">
            <v>53</v>
          </cell>
          <cell r="AZ48">
            <v>590.5</v>
          </cell>
          <cell r="BA48">
            <v>515.79999999999995</v>
          </cell>
          <cell r="BB48">
            <v>515.7998046875</v>
          </cell>
          <cell r="BC48" t="str">
            <v>Непосредственное</v>
          </cell>
          <cell r="BD48" t="str">
            <v>3.Общежитие</v>
          </cell>
          <cell r="BE48">
            <v>71.75</v>
          </cell>
          <cell r="BF48" t="str">
            <v>2.Чёрный</v>
          </cell>
          <cell r="BG48" t="str">
            <v>2.Чёрный</v>
          </cell>
          <cell r="BH48" t="str">
            <v>3.Водяной</v>
          </cell>
          <cell r="BI48" t="str">
            <v>МУП УИС</v>
          </cell>
          <cell r="BJ48" t="str">
            <v>1. Чугун</v>
          </cell>
          <cell r="BK48">
            <v>71.75</v>
          </cell>
          <cell r="BL48" t="str">
            <v>4.Шлакоблок</v>
          </cell>
          <cell r="BM48">
            <v>18994</v>
          </cell>
          <cell r="BN48">
            <v>18994</v>
          </cell>
          <cell r="BO48" t="str">
            <v>Оборудован</v>
          </cell>
          <cell r="BP48" t="str">
            <v>1.Абсоцемент(шифер)</v>
          </cell>
          <cell r="BQ48" t="str">
            <v>1.Скатная</v>
          </cell>
          <cell r="BR48">
            <v>632.29999999999995</v>
          </cell>
          <cell r="BS48">
            <v>632.2998046875</v>
          </cell>
          <cell r="BT48">
            <v>632.2998046875</v>
          </cell>
          <cell r="BU48">
            <v>486</v>
          </cell>
          <cell r="BV48">
            <v>486</v>
          </cell>
          <cell r="BW48" t="str">
            <v>3.Частный жилищный фонд</v>
          </cell>
          <cell r="BX48">
            <v>31</v>
          </cell>
          <cell r="BY48">
            <v>31</v>
          </cell>
          <cell r="BZ48" t="str">
            <v>3-я</v>
          </cell>
          <cell r="CA48">
            <v>1</v>
          </cell>
          <cell r="CB48">
            <v>27.01</v>
          </cell>
          <cell r="CC48">
            <v>27.009994506835938</v>
          </cell>
          <cell r="CD48">
            <v>534</v>
          </cell>
          <cell r="CE48">
            <v>534</v>
          </cell>
          <cell r="CF48" t="str">
            <v>ООО "Гранд"</v>
          </cell>
          <cell r="CG48">
            <v>28</v>
          </cell>
          <cell r="CH48">
            <v>3</v>
          </cell>
          <cell r="CI48" t="str">
            <v>Общежитие Коридорный тип</v>
          </cell>
          <cell r="CJ48">
            <v>3</v>
          </cell>
          <cell r="CK48">
            <v>0</v>
          </cell>
          <cell r="CL48">
            <v>1</v>
          </cell>
          <cell r="CM48">
            <v>31</v>
          </cell>
          <cell r="CN48">
            <v>232.5</v>
          </cell>
          <cell r="CO48">
            <v>232.5</v>
          </cell>
          <cell r="CP48">
            <v>718.5</v>
          </cell>
          <cell r="CQ48">
            <v>718.5</v>
          </cell>
          <cell r="CR48">
            <v>718.5</v>
          </cell>
          <cell r="CS48">
            <v>1</v>
          </cell>
          <cell r="CT48">
            <v>31</v>
          </cell>
          <cell r="CU48">
            <v>31</v>
          </cell>
          <cell r="CV48">
            <v>0</v>
          </cell>
          <cell r="CW48">
            <v>0</v>
          </cell>
          <cell r="CX48">
            <v>1</v>
          </cell>
          <cell r="CY48">
            <v>1</v>
          </cell>
          <cell r="CZ48">
            <v>3414</v>
          </cell>
          <cell r="DA48" t="str">
            <v>Демский</v>
          </cell>
          <cell r="DB48" t="str">
            <v>2.Деревянные</v>
          </cell>
          <cell r="DC48">
            <v>3414</v>
          </cell>
          <cell r="DD48">
            <v>1</v>
          </cell>
          <cell r="DE48">
            <v>13366</v>
          </cell>
          <cell r="DF48" t="str">
            <v>Пластинчатый</v>
          </cell>
          <cell r="DG48" t="str">
            <v>ГВС</v>
          </cell>
          <cell r="DH48" t="str">
            <v>АНО ЦЭС ЮГ</v>
          </cell>
          <cell r="DI48">
            <v>1</v>
          </cell>
          <cell r="DJ48">
            <v>1</v>
          </cell>
          <cell r="DK48">
            <v>1</v>
          </cell>
          <cell r="DL48">
            <v>1</v>
          </cell>
          <cell r="DM48">
            <v>660882</v>
          </cell>
          <cell r="DN48">
            <v>660882</v>
          </cell>
          <cell r="DO48">
            <v>660882</v>
          </cell>
          <cell r="DP48" t="str">
            <v>УЖХ</v>
          </cell>
          <cell r="DQ48">
            <v>37972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10</v>
          </cell>
          <cell r="DW48">
            <v>22.2</v>
          </cell>
          <cell r="DX48">
            <v>9.6999999999999993</v>
          </cell>
          <cell r="DY48">
            <v>20.8</v>
          </cell>
          <cell r="DZ48">
            <v>136.5</v>
          </cell>
          <cell r="EA48">
            <v>136.5</v>
          </cell>
          <cell r="EB48">
            <v>0</v>
          </cell>
          <cell r="EC48">
            <v>0</v>
          </cell>
          <cell r="ED48" t="str">
            <v>1.Открытый</v>
          </cell>
          <cell r="EE48" t="str">
            <v>Верхний</v>
          </cell>
          <cell r="EF48">
            <v>0</v>
          </cell>
          <cell r="EG48">
            <v>0</v>
          </cell>
          <cell r="EH48">
            <v>0</v>
          </cell>
          <cell r="EI48">
            <v>515.79999999999995</v>
          </cell>
          <cell r="EJ48">
            <v>0</v>
          </cell>
          <cell r="EK48">
            <v>0</v>
          </cell>
          <cell r="EL48">
            <v>570.1</v>
          </cell>
          <cell r="EM48">
            <v>20.399999999999999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17.34</v>
          </cell>
          <cell r="FG48">
            <v>17.339996337890625</v>
          </cell>
          <cell r="FH48" t="str">
            <v>С УЛК (ЖЭУ)</v>
          </cell>
          <cell r="FI48">
            <v>43647</v>
          </cell>
          <cell r="FJ48">
            <v>15477</v>
          </cell>
          <cell r="FK48">
            <v>15477</v>
          </cell>
          <cell r="FL48">
            <v>763.8</v>
          </cell>
          <cell r="FM48">
            <v>78.92</v>
          </cell>
          <cell r="FN48">
            <v>837.31000000000006</v>
          </cell>
          <cell r="FO48">
            <v>2511.9300000000003</v>
          </cell>
        </row>
        <row r="49">
          <cell r="AI49" t="str">
            <v>Ул. Центральная дом 31/1</v>
          </cell>
          <cell r="AJ49">
            <v>2511.9296875</v>
          </cell>
          <cell r="AK49">
            <v>190.9</v>
          </cell>
          <cell r="AL49">
            <v>121.6</v>
          </cell>
          <cell r="AM49">
            <v>121.5999755859375</v>
          </cell>
          <cell r="AN49">
            <v>121.5999755859375</v>
          </cell>
          <cell r="AO49" t="str">
            <v>АО УЖХ Демского района</v>
          </cell>
          <cell r="AP49">
            <v>147.69999999999999</v>
          </cell>
          <cell r="AQ49">
            <v>43.1</v>
          </cell>
          <cell r="AR49">
            <v>0</v>
          </cell>
          <cell r="AS49">
            <v>0</v>
          </cell>
          <cell r="AT49">
            <v>4</v>
          </cell>
          <cell r="AU49">
            <v>2</v>
          </cell>
          <cell r="AV49">
            <v>7</v>
          </cell>
          <cell r="AW49">
            <v>7</v>
          </cell>
          <cell r="AX49">
            <v>7</v>
          </cell>
          <cell r="AY49">
            <v>7</v>
          </cell>
          <cell r="AZ49">
            <v>286</v>
          </cell>
          <cell r="BA49">
            <v>226</v>
          </cell>
          <cell r="BB49">
            <v>226</v>
          </cell>
          <cell r="BC49" t="str">
            <v>Непосредственное</v>
          </cell>
          <cell r="BD49" t="str">
            <v>1. Жилой дом</v>
          </cell>
          <cell r="BE49">
            <v>100</v>
          </cell>
          <cell r="BF49" t="str">
            <v>4.Колонка уличная</v>
          </cell>
          <cell r="BG49">
            <v>100</v>
          </cell>
          <cell r="BH49" t="str">
            <v>1.АОГВ</v>
          </cell>
          <cell r="BI49">
            <v>100</v>
          </cell>
          <cell r="BJ49" t="str">
            <v>3. Местная</v>
          </cell>
          <cell r="BK49">
            <v>100</v>
          </cell>
          <cell r="BL49" t="str">
            <v>7.Бревенчатый</v>
          </cell>
          <cell r="BM49">
            <v>21916</v>
          </cell>
          <cell r="BN49">
            <v>21916</v>
          </cell>
          <cell r="BO49" t="str">
            <v>Не оборудован</v>
          </cell>
          <cell r="BP49" t="str">
            <v>1.Абсоцемент(шифер)</v>
          </cell>
          <cell r="BQ49" t="str">
            <v>1.Скатная</v>
          </cell>
          <cell r="BR49">
            <v>101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 t="str">
            <v>3.Частный жилищный фонд</v>
          </cell>
          <cell r="BX49">
            <v>4</v>
          </cell>
          <cell r="BY49">
            <v>4</v>
          </cell>
          <cell r="BZ49" t="str">
            <v>4-я</v>
          </cell>
          <cell r="CA49">
            <v>1</v>
          </cell>
          <cell r="CB49">
            <v>27.01</v>
          </cell>
          <cell r="CC49">
            <v>1</v>
          </cell>
          <cell r="CD49">
            <v>1</v>
          </cell>
          <cell r="CE49">
            <v>1</v>
          </cell>
          <cell r="CF49" t="str">
            <v>ООО "Гранд"</v>
          </cell>
          <cell r="CG49">
            <v>3</v>
          </cell>
          <cell r="CH49">
            <v>1</v>
          </cell>
          <cell r="CI49" t="str">
            <v>Дом блокированной застройки</v>
          </cell>
          <cell r="CJ49">
            <v>1</v>
          </cell>
          <cell r="CK49">
            <v>0</v>
          </cell>
          <cell r="CL49">
            <v>0</v>
          </cell>
          <cell r="CM49">
            <v>4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4</v>
          </cell>
          <cell r="CV49">
            <v>0</v>
          </cell>
          <cell r="CW49">
            <v>0</v>
          </cell>
          <cell r="CX49">
            <v>1</v>
          </cell>
          <cell r="CY49">
            <v>0</v>
          </cell>
          <cell r="CZ49">
            <v>492</v>
          </cell>
          <cell r="DA49" t="str">
            <v>Демский</v>
          </cell>
          <cell r="DB49" t="str">
            <v>2.Деревянные</v>
          </cell>
          <cell r="DC49">
            <v>492</v>
          </cell>
          <cell r="DD49">
            <v>492</v>
          </cell>
          <cell r="DE49">
            <v>492</v>
          </cell>
          <cell r="DF49">
            <v>492</v>
          </cell>
          <cell r="DG49">
            <v>492</v>
          </cell>
          <cell r="DH49">
            <v>492</v>
          </cell>
          <cell r="DI49">
            <v>492</v>
          </cell>
          <cell r="DJ49">
            <v>492</v>
          </cell>
          <cell r="DK49">
            <v>0</v>
          </cell>
          <cell r="DL49">
            <v>0</v>
          </cell>
          <cell r="DM49">
            <v>255682</v>
          </cell>
          <cell r="DN49">
            <v>255682</v>
          </cell>
          <cell r="DO49">
            <v>255682</v>
          </cell>
          <cell r="DP49" t="str">
            <v>УЖХ</v>
          </cell>
          <cell r="DQ49">
            <v>38245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3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  <cell r="EI49">
            <v>220</v>
          </cell>
          <cell r="EJ49">
            <v>90</v>
          </cell>
          <cell r="EK49">
            <v>0</v>
          </cell>
          <cell r="EL49">
            <v>192</v>
          </cell>
          <cell r="EM49">
            <v>4</v>
          </cell>
          <cell r="EN49">
            <v>1</v>
          </cell>
          <cell r="EO49">
            <v>1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  <cell r="EW49">
            <v>0</v>
          </cell>
          <cell r="EX49">
            <v>0</v>
          </cell>
          <cell r="EY49">
            <v>6</v>
          </cell>
          <cell r="EZ49">
            <v>1</v>
          </cell>
          <cell r="FA49">
            <v>1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15.13</v>
          </cell>
          <cell r="FG49">
            <v>15.129997253417969</v>
          </cell>
          <cell r="FH49">
            <v>15.129997253417969</v>
          </cell>
          <cell r="FI49">
            <v>43647</v>
          </cell>
          <cell r="FJ49">
            <v>43647</v>
          </cell>
          <cell r="FK49">
            <v>43647</v>
          </cell>
          <cell r="FL49">
            <v>190.9</v>
          </cell>
          <cell r="FM49">
            <v>78.92</v>
          </cell>
          <cell r="FN49">
            <v>423.72</v>
          </cell>
          <cell r="FO49">
            <v>1271.1600000000001</v>
          </cell>
        </row>
        <row r="50">
          <cell r="AI50" t="str">
            <v>Ул. Правды дом 25/2</v>
          </cell>
          <cell r="AJ50">
            <v>1271.1591796875</v>
          </cell>
          <cell r="AK50">
            <v>4106.6000000000004</v>
          </cell>
          <cell r="AL50">
            <v>2419.1</v>
          </cell>
          <cell r="AM50">
            <v>1</v>
          </cell>
          <cell r="AN50">
            <v>1</v>
          </cell>
          <cell r="AO50" t="str">
            <v>АО УЖХ Демского района</v>
          </cell>
          <cell r="AP50">
            <v>4106.3999999999996</v>
          </cell>
          <cell r="AQ50">
            <v>0</v>
          </cell>
          <cell r="AR50">
            <v>123.6</v>
          </cell>
          <cell r="AS50">
            <v>650.5</v>
          </cell>
          <cell r="AT50">
            <v>70</v>
          </cell>
          <cell r="AU50">
            <v>12</v>
          </cell>
          <cell r="AV50">
            <v>180</v>
          </cell>
          <cell r="AW50">
            <v>180</v>
          </cell>
          <cell r="AX50" t="str">
            <v>отказ от услуги</v>
          </cell>
          <cell r="AY50">
            <v>6.4</v>
          </cell>
          <cell r="AZ50">
            <v>3155.25</v>
          </cell>
          <cell r="BA50">
            <v>2109.62</v>
          </cell>
          <cell r="BB50">
            <v>2109.619140625</v>
          </cell>
          <cell r="BC50" t="str">
            <v>Управляющая компания</v>
          </cell>
          <cell r="BD50" t="str">
            <v>1. Жилой дом</v>
          </cell>
          <cell r="BE50">
            <v>17.399999999999999</v>
          </cell>
          <cell r="BF50" t="str">
            <v>2.Чёрный</v>
          </cell>
          <cell r="BG50" t="str">
            <v>2.Чёрный</v>
          </cell>
          <cell r="BH50" t="str">
            <v>3.Водяной</v>
          </cell>
          <cell r="BI50" t="str">
            <v>МУП УИС</v>
          </cell>
          <cell r="BJ50" t="str">
            <v>1. Чугун</v>
          </cell>
          <cell r="BK50">
            <v>2</v>
          </cell>
          <cell r="BL50" t="str">
            <v>2.Кирпич</v>
          </cell>
          <cell r="BM50">
            <v>37257</v>
          </cell>
          <cell r="BN50">
            <v>37257</v>
          </cell>
          <cell r="BO50" t="str">
            <v>Оборудован</v>
          </cell>
          <cell r="BP50" t="str">
            <v>4.Мягк/рулонная</v>
          </cell>
          <cell r="BQ50" t="str">
            <v>2.Плоская</v>
          </cell>
          <cell r="BR50">
            <v>570.1</v>
          </cell>
          <cell r="BS50">
            <v>400.5</v>
          </cell>
          <cell r="BT50">
            <v>400.5</v>
          </cell>
          <cell r="BU50">
            <v>525</v>
          </cell>
          <cell r="BV50">
            <v>525</v>
          </cell>
          <cell r="BW50" t="str">
            <v>3.Частный жилищный фонд</v>
          </cell>
          <cell r="BX50">
            <v>525</v>
          </cell>
          <cell r="BY50">
            <v>70</v>
          </cell>
          <cell r="BZ50" t="str">
            <v>2-я</v>
          </cell>
          <cell r="CA50">
            <v>1</v>
          </cell>
          <cell r="CB50">
            <v>27.01</v>
          </cell>
          <cell r="CC50">
            <v>27.009994506835938</v>
          </cell>
          <cell r="CD50">
            <v>4106.3999999999996</v>
          </cell>
          <cell r="CE50">
            <v>4106.3984375</v>
          </cell>
          <cell r="CF50" t="str">
            <v>ООО "Гранд"</v>
          </cell>
          <cell r="CG50">
            <v>70</v>
          </cell>
          <cell r="CH50">
            <v>0</v>
          </cell>
          <cell r="CI50">
            <v>0</v>
          </cell>
          <cell r="CJ50" t="str">
            <v>имеется, работает</v>
          </cell>
          <cell r="CK50">
            <v>0</v>
          </cell>
          <cell r="CL50">
            <v>1</v>
          </cell>
          <cell r="CM50">
            <v>70</v>
          </cell>
          <cell r="CN50">
            <v>774.1</v>
          </cell>
          <cell r="CO50">
            <v>774.1</v>
          </cell>
          <cell r="CP50">
            <v>1699.6</v>
          </cell>
          <cell r="CQ50">
            <v>1699.599609375</v>
          </cell>
          <cell r="CR50">
            <v>1699.599609375</v>
          </cell>
          <cell r="CS50">
            <v>1</v>
          </cell>
          <cell r="CT50">
            <v>70</v>
          </cell>
          <cell r="CU50">
            <v>70</v>
          </cell>
          <cell r="CV50">
            <v>62</v>
          </cell>
          <cell r="CW50">
            <v>62</v>
          </cell>
          <cell r="CX50">
            <v>1</v>
          </cell>
          <cell r="CY50">
            <v>1</v>
          </cell>
          <cell r="CZ50">
            <v>20347</v>
          </cell>
          <cell r="DA50" t="str">
            <v>Демский</v>
          </cell>
          <cell r="DB50" t="str">
            <v>3.Сборные ж/б панели</v>
          </cell>
          <cell r="DC50">
            <v>20347</v>
          </cell>
          <cell r="DD50">
            <v>20347</v>
          </cell>
          <cell r="DE50">
            <v>20347</v>
          </cell>
          <cell r="DF50">
            <v>20347</v>
          </cell>
          <cell r="DG50">
            <v>20347</v>
          </cell>
          <cell r="DH50">
            <v>20347</v>
          </cell>
          <cell r="DI50">
            <v>20347</v>
          </cell>
          <cell r="DJ50" t="str">
            <v>АО УЖХ Демского района</v>
          </cell>
          <cell r="DK50">
            <v>20347</v>
          </cell>
          <cell r="DL50">
            <v>20347</v>
          </cell>
          <cell r="DM50">
            <v>3465137</v>
          </cell>
          <cell r="DN50">
            <v>1</v>
          </cell>
          <cell r="DO50" t="str">
            <v>ГВС</v>
          </cell>
          <cell r="DP50" t="str">
            <v>УЖХ</v>
          </cell>
          <cell r="DQ50">
            <v>37343</v>
          </cell>
          <cell r="DR50">
            <v>0</v>
          </cell>
          <cell r="DS50">
            <v>0</v>
          </cell>
          <cell r="DT50">
            <v>70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 t="str">
            <v>4. Независимая схема</v>
          </cell>
          <cell r="EE50" t="str">
            <v>Верхний</v>
          </cell>
          <cell r="EF50">
            <v>0</v>
          </cell>
          <cell r="EG50">
            <v>0</v>
          </cell>
          <cell r="EH50">
            <v>0</v>
          </cell>
          <cell r="EI50">
            <v>2109.62</v>
          </cell>
          <cell r="EJ50">
            <v>323.69</v>
          </cell>
          <cell r="EK50">
            <v>2689.96</v>
          </cell>
          <cell r="EL50">
            <v>0</v>
          </cell>
          <cell r="EM50">
            <v>141.6</v>
          </cell>
          <cell r="EN50">
            <v>0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T50">
            <v>0</v>
          </cell>
          <cell r="EU50">
            <v>0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23</v>
          </cell>
          <cell r="FG50">
            <v>23</v>
          </cell>
          <cell r="FH50" t="str">
            <v>С УЛК (ЖЭУ)</v>
          </cell>
          <cell r="FI50">
            <v>43862</v>
          </cell>
          <cell r="FJ50">
            <v>15477</v>
          </cell>
          <cell r="FK50">
            <v>15477</v>
          </cell>
          <cell r="FL50">
            <v>5304.5</v>
          </cell>
          <cell r="FM50">
            <v>78.92</v>
          </cell>
          <cell r="FN50">
            <v>1890.7</v>
          </cell>
          <cell r="FO50">
            <v>1890.7</v>
          </cell>
        </row>
        <row r="51">
          <cell r="AI51" t="str">
            <v>Ул. Центральная дом 1</v>
          </cell>
          <cell r="AJ51">
            <v>1890.69921875</v>
          </cell>
          <cell r="AK51">
            <v>224.4</v>
          </cell>
          <cell r="AL51">
            <v>107.3</v>
          </cell>
          <cell r="AM51">
            <v>1</v>
          </cell>
          <cell r="AN51">
            <v>1</v>
          </cell>
          <cell r="AO51" t="str">
            <v>АО УЖХ Демского района</v>
          </cell>
          <cell r="AP51">
            <v>224.4</v>
          </cell>
          <cell r="AQ51">
            <v>0</v>
          </cell>
          <cell r="AR51">
            <v>0</v>
          </cell>
          <cell r="AS51">
            <v>0</v>
          </cell>
          <cell r="AT51">
            <v>3</v>
          </cell>
          <cell r="AU51">
            <v>1</v>
          </cell>
          <cell r="AV51">
            <v>9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 t="str">
            <v>Непосредственное</v>
          </cell>
          <cell r="BD51" t="str">
            <v>1. Жилой дом</v>
          </cell>
          <cell r="BE51">
            <v>68.75</v>
          </cell>
          <cell r="BF51" t="str">
            <v>1.Оцинкованный</v>
          </cell>
          <cell r="BG51">
            <v>68.75</v>
          </cell>
          <cell r="BH51" t="str">
            <v>3.Водяной</v>
          </cell>
          <cell r="BI51">
            <v>68.75</v>
          </cell>
          <cell r="BJ51" t="str">
            <v>1. Чугун</v>
          </cell>
          <cell r="BK51">
            <v>68.75</v>
          </cell>
          <cell r="BL51" t="str">
            <v>4.Шлакоблок</v>
          </cell>
          <cell r="BM51">
            <v>20090</v>
          </cell>
          <cell r="BN51">
            <v>3</v>
          </cell>
          <cell r="BO51" t="str">
            <v>Не оборудован</v>
          </cell>
          <cell r="BP51" t="str">
            <v>1.Абсоцемент(шифер)</v>
          </cell>
          <cell r="BQ51" t="str">
            <v>1.Скатная</v>
          </cell>
          <cell r="BR51">
            <v>251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 t="str">
            <v>3.Частный жилищный фонд</v>
          </cell>
          <cell r="BX51">
            <v>3</v>
          </cell>
          <cell r="BY51">
            <v>0</v>
          </cell>
          <cell r="BZ51" t="str">
            <v>3-я</v>
          </cell>
          <cell r="CA51">
            <v>0</v>
          </cell>
          <cell r="CB51">
            <v>27.01</v>
          </cell>
          <cell r="CC51">
            <v>1</v>
          </cell>
          <cell r="CD51">
            <v>1</v>
          </cell>
          <cell r="CE51">
            <v>224.4</v>
          </cell>
          <cell r="CF51" t="str">
            <v>ООО "Гранд"</v>
          </cell>
          <cell r="CG51">
            <v>3</v>
          </cell>
          <cell r="CH51">
            <v>0</v>
          </cell>
          <cell r="CI51" t="str">
            <v>Дом блокированной застройки</v>
          </cell>
          <cell r="CJ51">
            <v>0</v>
          </cell>
          <cell r="CK51">
            <v>0</v>
          </cell>
          <cell r="CL51">
            <v>0</v>
          </cell>
          <cell r="CM51">
            <v>3</v>
          </cell>
          <cell r="CN51">
            <v>3</v>
          </cell>
          <cell r="CO51">
            <v>3</v>
          </cell>
          <cell r="CP51">
            <v>3</v>
          </cell>
          <cell r="CQ51">
            <v>3</v>
          </cell>
          <cell r="CR51">
            <v>3</v>
          </cell>
          <cell r="CS51">
            <v>3</v>
          </cell>
          <cell r="CT51">
            <v>3</v>
          </cell>
          <cell r="CU51">
            <v>0</v>
          </cell>
          <cell r="CV51">
            <v>2</v>
          </cell>
          <cell r="CW51">
            <v>0</v>
          </cell>
          <cell r="CX51">
            <v>1</v>
          </cell>
          <cell r="CY51">
            <v>1</v>
          </cell>
          <cell r="CZ51">
            <v>877</v>
          </cell>
          <cell r="DA51" t="str">
            <v>Демский</v>
          </cell>
          <cell r="DB51" t="str">
            <v>2.Деревянные</v>
          </cell>
          <cell r="DC51">
            <v>877</v>
          </cell>
          <cell r="DD51">
            <v>877</v>
          </cell>
          <cell r="DE51">
            <v>877</v>
          </cell>
          <cell r="DF51">
            <v>877</v>
          </cell>
          <cell r="DG51">
            <v>877</v>
          </cell>
          <cell r="DH51">
            <v>877</v>
          </cell>
          <cell r="DI51">
            <v>877</v>
          </cell>
          <cell r="DJ51">
            <v>877</v>
          </cell>
          <cell r="DK51">
            <v>0</v>
          </cell>
          <cell r="DL51">
            <v>0</v>
          </cell>
          <cell r="DM51">
            <v>392681</v>
          </cell>
          <cell r="DN51">
            <v>0</v>
          </cell>
          <cell r="DO51">
            <v>0</v>
          </cell>
          <cell r="DP51" t="str">
            <v>УЖХ</v>
          </cell>
          <cell r="DQ51">
            <v>39751</v>
          </cell>
          <cell r="DR51">
            <v>0</v>
          </cell>
          <cell r="DS51">
            <v>3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 t="str">
            <v>3.Зависимая схема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0</v>
          </cell>
          <cell r="FL51">
            <v>224.4</v>
          </cell>
          <cell r="FM51">
            <v>78.92</v>
          </cell>
          <cell r="FN51">
            <v>236.76</v>
          </cell>
          <cell r="FO51">
            <v>710.28</v>
          </cell>
        </row>
        <row r="52">
          <cell r="AI52" t="str">
            <v>Ул. Центральная дом 1/2</v>
          </cell>
          <cell r="AJ52">
            <v>710.27978515625</v>
          </cell>
          <cell r="AK52">
            <v>4562.6000000000004</v>
          </cell>
          <cell r="AL52">
            <v>2395.6999999999998</v>
          </cell>
          <cell r="AM52">
            <v>1</v>
          </cell>
          <cell r="AN52">
            <v>1</v>
          </cell>
          <cell r="AO52" t="str">
            <v>АО УЖХ Демского района</v>
          </cell>
          <cell r="AP52">
            <v>4219.3999999999996</v>
          </cell>
          <cell r="AQ52">
            <v>343.2</v>
          </cell>
          <cell r="AR52">
            <v>69.7</v>
          </cell>
          <cell r="AS52">
            <v>1032.3</v>
          </cell>
          <cell r="AT52">
            <v>106</v>
          </cell>
          <cell r="AU52">
            <v>9</v>
          </cell>
          <cell r="AV52">
            <v>251</v>
          </cell>
          <cell r="AW52">
            <v>251</v>
          </cell>
          <cell r="AX52" t="str">
            <v>отказ от услуги</v>
          </cell>
          <cell r="AY52">
            <v>251</v>
          </cell>
          <cell r="AZ52">
            <v>1557.1</v>
          </cell>
          <cell r="BA52">
            <v>729</v>
          </cell>
          <cell r="BB52">
            <v>729</v>
          </cell>
          <cell r="BC52" t="str">
            <v>Управляющая компания</v>
          </cell>
          <cell r="BD52" t="str">
            <v>3.Общежитие</v>
          </cell>
          <cell r="BE52">
            <v>20.12</v>
          </cell>
          <cell r="BF52" t="str">
            <v>2.Чёрный</v>
          </cell>
          <cell r="BG52" t="str">
            <v>2.Чёрный</v>
          </cell>
          <cell r="BH52" t="str">
            <v>3.Водяной</v>
          </cell>
          <cell r="BI52" t="str">
            <v>МУП УИС</v>
          </cell>
          <cell r="BJ52" t="str">
            <v>1. Чугун</v>
          </cell>
          <cell r="BK52">
            <v>1</v>
          </cell>
          <cell r="BL52" t="str">
            <v>2.Кирпич</v>
          </cell>
          <cell r="BM52">
            <v>34700</v>
          </cell>
          <cell r="BN52">
            <v>34700</v>
          </cell>
          <cell r="BO52" t="str">
            <v>Оборудован</v>
          </cell>
          <cell r="BP52" t="str">
            <v>4.Мягк/рулонная</v>
          </cell>
          <cell r="BQ52" t="str">
            <v>2.Плоская</v>
          </cell>
          <cell r="BR52">
            <v>988.2</v>
          </cell>
          <cell r="BS52">
            <v>285</v>
          </cell>
          <cell r="BT52">
            <v>285</v>
          </cell>
          <cell r="BU52">
            <v>285</v>
          </cell>
          <cell r="BV52">
            <v>0</v>
          </cell>
          <cell r="BW52" t="str">
            <v>3.Частный жилищный фонд</v>
          </cell>
          <cell r="BX52">
            <v>0</v>
          </cell>
          <cell r="BY52">
            <v>106</v>
          </cell>
          <cell r="BZ52" t="str">
            <v>1-я</v>
          </cell>
          <cell r="CA52">
            <v>1</v>
          </cell>
          <cell r="CB52">
            <v>27.01</v>
          </cell>
          <cell r="CC52">
            <v>27.009994506835938</v>
          </cell>
          <cell r="CD52">
            <v>4562.6000000000004</v>
          </cell>
          <cell r="CE52">
            <v>4562.59765625</v>
          </cell>
          <cell r="CF52" t="str">
            <v>ООО "Гранд"</v>
          </cell>
          <cell r="CG52">
            <v>98</v>
          </cell>
          <cell r="CH52">
            <v>8</v>
          </cell>
          <cell r="CI52" t="str">
            <v>Общежитие Квартирный тип</v>
          </cell>
          <cell r="CJ52">
            <v>8</v>
          </cell>
          <cell r="CK52">
            <v>0</v>
          </cell>
          <cell r="CL52">
            <v>1</v>
          </cell>
          <cell r="CM52">
            <v>107</v>
          </cell>
          <cell r="CN52">
            <v>1102</v>
          </cell>
          <cell r="CO52">
            <v>1102</v>
          </cell>
          <cell r="CP52">
            <v>1387</v>
          </cell>
          <cell r="CQ52">
            <v>1387</v>
          </cell>
          <cell r="CR52">
            <v>1387</v>
          </cell>
          <cell r="CS52">
            <v>1</v>
          </cell>
          <cell r="CT52">
            <v>106</v>
          </cell>
          <cell r="CU52">
            <v>0</v>
          </cell>
          <cell r="CV52">
            <v>77</v>
          </cell>
          <cell r="CW52">
            <v>73</v>
          </cell>
          <cell r="CX52">
            <v>1</v>
          </cell>
          <cell r="CY52">
            <v>1</v>
          </cell>
          <cell r="CZ52">
            <v>23134</v>
          </cell>
          <cell r="DA52" t="str">
            <v>Демский</v>
          </cell>
          <cell r="DB52" t="str">
            <v>3.Сборные ж/б панели</v>
          </cell>
          <cell r="DC52">
            <v>23134</v>
          </cell>
          <cell r="DD52">
            <v>1</v>
          </cell>
          <cell r="DE52">
            <v>13367</v>
          </cell>
          <cell r="DF52" t="str">
            <v>Пластинчатый</v>
          </cell>
          <cell r="DG52" t="str">
            <v>ГВС</v>
          </cell>
          <cell r="DH52" t="str">
            <v>АНО ЦЭС ЮГ</v>
          </cell>
          <cell r="DI52">
            <v>13367</v>
          </cell>
          <cell r="DJ52" t="str">
            <v>АО УЖХ Демского района</v>
          </cell>
          <cell r="DK52">
            <v>13367</v>
          </cell>
          <cell r="DL52">
            <v>13367</v>
          </cell>
          <cell r="DM52">
            <v>9276196</v>
          </cell>
          <cell r="DN52">
            <v>1</v>
          </cell>
          <cell r="DO52" t="str">
            <v>ГВС</v>
          </cell>
          <cell r="DP52" t="str">
            <v>УЖХ</v>
          </cell>
          <cell r="DQ52">
            <v>39057</v>
          </cell>
          <cell r="DR52">
            <v>0</v>
          </cell>
          <cell r="DS52">
            <v>0</v>
          </cell>
          <cell r="DT52">
            <v>106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1</v>
          </cell>
          <cell r="ED52" t="str">
            <v>1.Открытый</v>
          </cell>
          <cell r="EE52" t="str">
            <v>Нижний</v>
          </cell>
          <cell r="EF52">
            <v>1</v>
          </cell>
          <cell r="EG52">
            <v>1</v>
          </cell>
          <cell r="EH52">
            <v>1</v>
          </cell>
          <cell r="EI52">
            <v>549</v>
          </cell>
          <cell r="EJ52">
            <v>40</v>
          </cell>
          <cell r="EK52">
            <v>344.7</v>
          </cell>
          <cell r="EL52">
            <v>1050.4000000000001</v>
          </cell>
          <cell r="EM52">
            <v>54.6</v>
          </cell>
          <cell r="EN52">
            <v>2</v>
          </cell>
          <cell r="EO52">
            <v>2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>
            <v>180</v>
          </cell>
          <cell r="EV52">
            <v>1</v>
          </cell>
          <cell r="EW52">
            <v>40</v>
          </cell>
          <cell r="EX52">
            <v>1</v>
          </cell>
          <cell r="EY52">
            <v>1</v>
          </cell>
          <cell r="EZ52">
            <v>0</v>
          </cell>
          <cell r="FA52">
            <v>27.4</v>
          </cell>
          <cell r="FB52">
            <v>1</v>
          </cell>
          <cell r="FC52">
            <v>1</v>
          </cell>
          <cell r="FD52">
            <v>0</v>
          </cell>
          <cell r="FE52">
            <v>0</v>
          </cell>
          <cell r="FF52">
            <v>18.34</v>
          </cell>
          <cell r="FG52">
            <v>2</v>
          </cell>
          <cell r="FH52">
            <v>2</v>
          </cell>
          <cell r="FI52">
            <v>43466</v>
          </cell>
          <cell r="FJ52">
            <v>15477</v>
          </cell>
          <cell r="FK52">
            <v>15477</v>
          </cell>
          <cell r="FL52">
            <v>5949.6</v>
          </cell>
          <cell r="FM52">
            <v>78.92</v>
          </cell>
          <cell r="FN52">
            <v>2863.06</v>
          </cell>
          <cell r="FO52">
            <v>2863.06</v>
          </cell>
        </row>
        <row r="53">
          <cell r="AI53" t="str">
            <v>Ул. Центральная дом 2</v>
          </cell>
          <cell r="AJ53">
            <v>2863.05859375</v>
          </cell>
          <cell r="AK53">
            <v>1244.8</v>
          </cell>
          <cell r="AL53">
            <v>810.2</v>
          </cell>
          <cell r="AM53">
            <v>3</v>
          </cell>
          <cell r="AN53">
            <v>3</v>
          </cell>
          <cell r="AO53" t="str">
            <v>АО УЖХ Демского района</v>
          </cell>
          <cell r="AP53">
            <v>1010.91</v>
          </cell>
          <cell r="AQ53">
            <v>234.69</v>
          </cell>
          <cell r="AR53">
            <v>112.8</v>
          </cell>
          <cell r="AS53">
            <v>9.9</v>
          </cell>
          <cell r="AT53">
            <v>16</v>
          </cell>
          <cell r="AU53">
            <v>2</v>
          </cell>
          <cell r="AV53">
            <v>64</v>
          </cell>
          <cell r="AW53">
            <v>0</v>
          </cell>
          <cell r="AX53">
            <v>0</v>
          </cell>
          <cell r="AY53">
            <v>0</v>
          </cell>
          <cell r="AZ53">
            <v>681.7</v>
          </cell>
          <cell r="BA53">
            <v>2240.1</v>
          </cell>
          <cell r="BB53">
            <v>2240.099609375</v>
          </cell>
          <cell r="BC53" t="str">
            <v>Непосредственное</v>
          </cell>
          <cell r="BD53" t="str">
            <v>1. Жилой дом</v>
          </cell>
          <cell r="BE53">
            <v>66.75</v>
          </cell>
          <cell r="BF53" t="str">
            <v>1.Оцинкованный</v>
          </cell>
          <cell r="BG53">
            <v>66.75</v>
          </cell>
          <cell r="BH53" t="str">
            <v>3.Водяной</v>
          </cell>
          <cell r="BI53" t="str">
            <v>МУП УИС</v>
          </cell>
          <cell r="BJ53" t="str">
            <v>2. ПВХ</v>
          </cell>
          <cell r="BK53">
            <v>66.75</v>
          </cell>
          <cell r="BL53" t="str">
            <v>4.Шлакоблок</v>
          </cell>
          <cell r="BM53">
            <v>20821</v>
          </cell>
          <cell r="BN53">
            <v>16</v>
          </cell>
          <cell r="BO53" t="str">
            <v>Оборудован</v>
          </cell>
          <cell r="BP53" t="str">
            <v>1.Абсоцемент(шифер)</v>
          </cell>
          <cell r="BQ53" t="str">
            <v>1.Скатная</v>
          </cell>
          <cell r="BR53">
            <v>1160</v>
          </cell>
          <cell r="BS53">
            <v>748.6</v>
          </cell>
          <cell r="BT53">
            <v>748.599609375</v>
          </cell>
          <cell r="BU53">
            <v>748.599609375</v>
          </cell>
          <cell r="BV53">
            <v>0</v>
          </cell>
          <cell r="BW53" t="str">
            <v>3.Частный жилищный фонд</v>
          </cell>
          <cell r="BX53">
            <v>16</v>
          </cell>
          <cell r="BY53">
            <v>0</v>
          </cell>
          <cell r="BZ53" t="str">
            <v>3-я</v>
          </cell>
          <cell r="CA53">
            <v>1</v>
          </cell>
          <cell r="CB53">
            <v>27.01</v>
          </cell>
          <cell r="CC53">
            <v>1</v>
          </cell>
          <cell r="CD53">
            <v>1</v>
          </cell>
          <cell r="CE53">
            <v>1</v>
          </cell>
          <cell r="CF53" t="str">
            <v>ООО "Гранд"</v>
          </cell>
          <cell r="CG53">
            <v>12</v>
          </cell>
          <cell r="CH53">
            <v>4</v>
          </cell>
          <cell r="CI53">
            <v>4</v>
          </cell>
          <cell r="CJ53">
            <v>4</v>
          </cell>
          <cell r="CK53">
            <v>0</v>
          </cell>
          <cell r="CL53">
            <v>0</v>
          </cell>
          <cell r="CM53">
            <v>28</v>
          </cell>
          <cell r="CN53">
            <v>122.7</v>
          </cell>
          <cell r="CO53">
            <v>0</v>
          </cell>
          <cell r="CP53">
            <v>871.3</v>
          </cell>
          <cell r="CQ53">
            <v>871.2998046875</v>
          </cell>
          <cell r="CR53">
            <v>871.2998046875</v>
          </cell>
          <cell r="CS53">
            <v>0</v>
          </cell>
          <cell r="CT53">
            <v>16</v>
          </cell>
          <cell r="CU53">
            <v>0</v>
          </cell>
          <cell r="CV53">
            <v>0</v>
          </cell>
          <cell r="CW53">
            <v>0</v>
          </cell>
          <cell r="CX53">
            <v>1</v>
          </cell>
          <cell r="CY53">
            <v>1</v>
          </cell>
          <cell r="CZ53">
            <v>6205</v>
          </cell>
          <cell r="DA53" t="str">
            <v>Демский</v>
          </cell>
          <cell r="DB53" t="str">
            <v>2.Деревянные</v>
          </cell>
          <cell r="DC53">
            <v>6205</v>
          </cell>
          <cell r="DD53">
            <v>6205</v>
          </cell>
          <cell r="DE53">
            <v>6205</v>
          </cell>
          <cell r="DF53">
            <v>6205</v>
          </cell>
          <cell r="DG53">
            <v>6205</v>
          </cell>
          <cell r="DH53">
            <v>6205</v>
          </cell>
          <cell r="DI53">
            <v>6205</v>
          </cell>
          <cell r="DJ53">
            <v>6205</v>
          </cell>
          <cell r="DK53">
            <v>0</v>
          </cell>
          <cell r="DL53">
            <v>0</v>
          </cell>
          <cell r="DM53">
            <v>2896547</v>
          </cell>
          <cell r="DN53">
            <v>0</v>
          </cell>
          <cell r="DO53">
            <v>0</v>
          </cell>
          <cell r="DP53" t="str">
            <v>УЖХ</v>
          </cell>
          <cell r="DQ53">
            <v>35781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 t="str">
            <v>3.Зависимая схема</v>
          </cell>
          <cell r="EE53" t="str">
            <v>Верхний</v>
          </cell>
          <cell r="EF53">
            <v>0</v>
          </cell>
          <cell r="EG53">
            <v>0</v>
          </cell>
          <cell r="EH53">
            <v>0</v>
          </cell>
          <cell r="EI53">
            <v>2240.1</v>
          </cell>
          <cell r="EJ53">
            <v>304.5</v>
          </cell>
          <cell r="EK53">
            <v>217</v>
          </cell>
          <cell r="EL53">
            <v>60</v>
          </cell>
          <cell r="EM53">
            <v>35.200000000000003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65</v>
          </cell>
          <cell r="FB53">
            <v>1</v>
          </cell>
          <cell r="FC53">
            <v>1</v>
          </cell>
          <cell r="FD53">
            <v>0</v>
          </cell>
          <cell r="FE53">
            <v>0</v>
          </cell>
          <cell r="FF53">
            <v>16.170000000000002</v>
          </cell>
          <cell r="FG53">
            <v>16.169998168945313</v>
          </cell>
          <cell r="FH53" t="str">
            <v>С УЛК (ЖЭУ)</v>
          </cell>
          <cell r="FI53">
            <v>43647</v>
          </cell>
          <cell r="FJ53">
            <v>15477</v>
          </cell>
          <cell r="FK53">
            <v>15477</v>
          </cell>
          <cell r="FL53">
            <v>2116.1</v>
          </cell>
          <cell r="FM53">
            <v>78.92</v>
          </cell>
          <cell r="FN53">
            <v>1694.88</v>
          </cell>
          <cell r="FO53">
            <v>5084.6400000000003</v>
          </cell>
        </row>
        <row r="54">
          <cell r="AI54" t="str">
            <v>Ул. Центральная дом 3</v>
          </cell>
          <cell r="AJ54">
            <v>5084.63671875</v>
          </cell>
          <cell r="AK54">
            <v>172.7</v>
          </cell>
          <cell r="AL54">
            <v>80.2</v>
          </cell>
          <cell r="AM54">
            <v>1</v>
          </cell>
          <cell r="AN54">
            <v>1</v>
          </cell>
          <cell r="AO54" t="str">
            <v>АО УЖХ Демского района</v>
          </cell>
          <cell r="AP54">
            <v>172.7</v>
          </cell>
          <cell r="AQ54">
            <v>0</v>
          </cell>
          <cell r="AR54">
            <v>0</v>
          </cell>
          <cell r="AS54">
            <v>0</v>
          </cell>
          <cell r="AT54">
            <v>3</v>
          </cell>
          <cell r="AU54">
            <v>1</v>
          </cell>
          <cell r="AV54">
            <v>5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 t="str">
            <v>Непосредственное</v>
          </cell>
          <cell r="BD54" t="str">
            <v>1. Жилой дом</v>
          </cell>
          <cell r="BE54">
            <v>68.75</v>
          </cell>
          <cell r="BF54" t="str">
            <v>1.Оцинкованный</v>
          </cell>
          <cell r="BG54">
            <v>68.75</v>
          </cell>
          <cell r="BH54" t="str">
            <v>3.Водяной</v>
          </cell>
          <cell r="BI54">
            <v>68.75</v>
          </cell>
          <cell r="BJ54" t="str">
            <v>1. Чугун</v>
          </cell>
          <cell r="BK54">
            <v>68.75</v>
          </cell>
          <cell r="BL54" t="str">
            <v>4.Шлакоблок</v>
          </cell>
          <cell r="BM54">
            <v>20090</v>
          </cell>
          <cell r="BN54">
            <v>20090</v>
          </cell>
          <cell r="BO54" t="str">
            <v>Не оборудован</v>
          </cell>
          <cell r="BP54" t="str">
            <v>1.Абсоцемент(шифер)</v>
          </cell>
          <cell r="BQ54" t="str">
            <v>1.Скатная</v>
          </cell>
          <cell r="BR54">
            <v>294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 t="str">
            <v>3.Частный жилищный фонд</v>
          </cell>
          <cell r="BX54">
            <v>3</v>
          </cell>
          <cell r="BY54">
            <v>0</v>
          </cell>
          <cell r="BZ54" t="str">
            <v>3-я</v>
          </cell>
          <cell r="CA54">
            <v>0</v>
          </cell>
          <cell r="CB54">
            <v>27.01</v>
          </cell>
          <cell r="CC54">
            <v>1</v>
          </cell>
          <cell r="CD54">
            <v>1</v>
          </cell>
          <cell r="CE54">
            <v>1</v>
          </cell>
          <cell r="CF54" t="str">
            <v>ООО "Гранд"</v>
          </cell>
          <cell r="CG54">
            <v>3</v>
          </cell>
          <cell r="CH54">
            <v>0</v>
          </cell>
          <cell r="CI54" t="str">
            <v>Дом блокированной застройки</v>
          </cell>
          <cell r="CJ54">
            <v>0</v>
          </cell>
          <cell r="CK54">
            <v>0</v>
          </cell>
          <cell r="CL54">
            <v>0</v>
          </cell>
          <cell r="CM54">
            <v>3</v>
          </cell>
          <cell r="CN54">
            <v>3</v>
          </cell>
          <cell r="CO54">
            <v>3</v>
          </cell>
          <cell r="CP54">
            <v>3</v>
          </cell>
          <cell r="CQ54">
            <v>3</v>
          </cell>
          <cell r="CR54">
            <v>3</v>
          </cell>
          <cell r="CS54">
            <v>3</v>
          </cell>
          <cell r="CT54">
            <v>3</v>
          </cell>
          <cell r="CU54">
            <v>0</v>
          </cell>
          <cell r="CV54">
            <v>0</v>
          </cell>
          <cell r="CW54">
            <v>0</v>
          </cell>
          <cell r="CX54">
            <v>1</v>
          </cell>
          <cell r="CY54">
            <v>1</v>
          </cell>
          <cell r="CZ54">
            <v>865</v>
          </cell>
          <cell r="DA54" t="str">
            <v>Демский</v>
          </cell>
          <cell r="DB54" t="str">
            <v>2.Деревянные</v>
          </cell>
          <cell r="DC54">
            <v>865</v>
          </cell>
          <cell r="DD54">
            <v>865</v>
          </cell>
          <cell r="DE54">
            <v>865</v>
          </cell>
          <cell r="DF54">
            <v>865</v>
          </cell>
          <cell r="DG54">
            <v>865</v>
          </cell>
          <cell r="DH54">
            <v>865</v>
          </cell>
          <cell r="DI54">
            <v>865</v>
          </cell>
          <cell r="DJ54">
            <v>865</v>
          </cell>
          <cell r="DK54">
            <v>0</v>
          </cell>
          <cell r="DL54">
            <v>0</v>
          </cell>
          <cell r="DM54">
            <v>370142</v>
          </cell>
          <cell r="DN54">
            <v>0</v>
          </cell>
          <cell r="DO54">
            <v>0</v>
          </cell>
          <cell r="DP54" t="str">
            <v>УЖХ</v>
          </cell>
          <cell r="DQ54">
            <v>39751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 t="str">
            <v>3.Зависимая схема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172.7</v>
          </cell>
          <cell r="FM54">
            <v>78.92</v>
          </cell>
          <cell r="FN54">
            <v>236.76</v>
          </cell>
          <cell r="FO54">
            <v>710.28</v>
          </cell>
        </row>
        <row r="55">
          <cell r="AI55" t="str">
            <v>Ул. Центральная дом 4</v>
          </cell>
          <cell r="AJ55">
            <v>710.27978515625</v>
          </cell>
          <cell r="AK55">
            <v>896.6</v>
          </cell>
          <cell r="AL55">
            <v>592.4</v>
          </cell>
          <cell r="AM55">
            <v>2</v>
          </cell>
          <cell r="AN55">
            <v>2</v>
          </cell>
          <cell r="AO55" t="str">
            <v>АО УЖХ Демского района</v>
          </cell>
          <cell r="AP55">
            <v>813</v>
          </cell>
          <cell r="AQ55">
            <v>77.900000000000006</v>
          </cell>
          <cell r="AR55">
            <v>79.400000000000006</v>
          </cell>
          <cell r="AS55">
            <v>5.6</v>
          </cell>
          <cell r="AT55">
            <v>12</v>
          </cell>
          <cell r="AU55">
            <v>2</v>
          </cell>
          <cell r="AV55">
            <v>41</v>
          </cell>
          <cell r="AW55">
            <v>0</v>
          </cell>
          <cell r="AX55">
            <v>0</v>
          </cell>
          <cell r="AY55">
            <v>0</v>
          </cell>
          <cell r="AZ55">
            <v>987.9</v>
          </cell>
          <cell r="BA55">
            <v>1410</v>
          </cell>
          <cell r="BB55">
            <v>1410</v>
          </cell>
          <cell r="BC55" t="str">
            <v>Непосредственное</v>
          </cell>
          <cell r="BD55" t="str">
            <v>1. Жилой дом</v>
          </cell>
          <cell r="BE55">
            <v>67.75</v>
          </cell>
          <cell r="BF55" t="str">
            <v>2.Чёрный</v>
          </cell>
          <cell r="BG55">
            <v>67.75</v>
          </cell>
          <cell r="BH55" t="str">
            <v>3.Водяной</v>
          </cell>
          <cell r="BI55" t="str">
            <v>МУП УИС</v>
          </cell>
          <cell r="BJ55" t="str">
            <v>1. Чугун</v>
          </cell>
          <cell r="BK55">
            <v>67.75</v>
          </cell>
          <cell r="BL55" t="str">
            <v>4.Шлакоблок</v>
          </cell>
          <cell r="BM55">
            <v>20455</v>
          </cell>
          <cell r="BN55">
            <v>12</v>
          </cell>
          <cell r="BO55" t="str">
            <v>Оборудован</v>
          </cell>
          <cell r="BP55" t="str">
            <v>1.Абсоцемент(шифер)</v>
          </cell>
          <cell r="BQ55" t="str">
            <v>1.Скатная</v>
          </cell>
          <cell r="BR55">
            <v>837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 t="str">
            <v>3.Частный жилищный фонд</v>
          </cell>
          <cell r="BX55">
            <v>12</v>
          </cell>
          <cell r="BY55">
            <v>0</v>
          </cell>
          <cell r="BZ55" t="str">
            <v>3-я</v>
          </cell>
          <cell r="CA55">
            <v>1</v>
          </cell>
          <cell r="CB55">
            <v>27.01</v>
          </cell>
          <cell r="CC55">
            <v>1</v>
          </cell>
          <cell r="CD55">
            <v>1</v>
          </cell>
          <cell r="CE55">
            <v>1</v>
          </cell>
          <cell r="CF55" t="str">
            <v>ООО "Гранд"</v>
          </cell>
          <cell r="CG55">
            <v>11</v>
          </cell>
          <cell r="CH55">
            <v>1</v>
          </cell>
          <cell r="CI55">
            <v>1</v>
          </cell>
          <cell r="CJ55">
            <v>1</v>
          </cell>
          <cell r="CK55">
            <v>0</v>
          </cell>
          <cell r="CL55">
            <v>0</v>
          </cell>
          <cell r="CM55">
            <v>20</v>
          </cell>
          <cell r="CN55">
            <v>85</v>
          </cell>
          <cell r="CO55">
            <v>0</v>
          </cell>
          <cell r="CP55">
            <v>85</v>
          </cell>
          <cell r="CQ55">
            <v>85</v>
          </cell>
          <cell r="CR55">
            <v>85</v>
          </cell>
          <cell r="CS55">
            <v>0</v>
          </cell>
          <cell r="CT55">
            <v>12</v>
          </cell>
          <cell r="CU55">
            <v>0</v>
          </cell>
          <cell r="CV55">
            <v>0</v>
          </cell>
          <cell r="CW55">
            <v>0</v>
          </cell>
          <cell r="CX55">
            <v>1</v>
          </cell>
          <cell r="CY55">
            <v>1</v>
          </cell>
          <cell r="CZ55">
            <v>4176</v>
          </cell>
          <cell r="DA55" t="str">
            <v>Демский</v>
          </cell>
          <cell r="DB55" t="str">
            <v>2.Деревянные</v>
          </cell>
          <cell r="DC55">
            <v>4176</v>
          </cell>
          <cell r="DD55">
            <v>4176</v>
          </cell>
          <cell r="DE55">
            <v>4176</v>
          </cell>
          <cell r="DF55">
            <v>4176</v>
          </cell>
          <cell r="DG55">
            <v>4176</v>
          </cell>
          <cell r="DH55">
            <v>4176</v>
          </cell>
          <cell r="DI55">
            <v>4176</v>
          </cell>
          <cell r="DJ55">
            <v>4176</v>
          </cell>
          <cell r="DK55">
            <v>0</v>
          </cell>
          <cell r="DL55">
            <v>0</v>
          </cell>
          <cell r="DM55">
            <v>1540497</v>
          </cell>
          <cell r="DN55">
            <v>0</v>
          </cell>
          <cell r="DO55">
            <v>0</v>
          </cell>
          <cell r="DP55" t="str">
            <v>УЖХ</v>
          </cell>
          <cell r="DQ55">
            <v>35517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 t="str">
            <v>3.Зависимая схема</v>
          </cell>
          <cell r="EE55" t="str">
            <v>Верхний</v>
          </cell>
          <cell r="EF55">
            <v>0</v>
          </cell>
          <cell r="EG55">
            <v>0</v>
          </cell>
          <cell r="EH55">
            <v>0</v>
          </cell>
          <cell r="EI55">
            <v>1410</v>
          </cell>
          <cell r="EJ55">
            <v>312.7</v>
          </cell>
          <cell r="EK55">
            <v>214.1</v>
          </cell>
          <cell r="EL55">
            <v>300</v>
          </cell>
          <cell r="EM55">
            <v>28.1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133</v>
          </cell>
          <cell r="FB55">
            <v>1</v>
          </cell>
          <cell r="FC55">
            <v>1</v>
          </cell>
          <cell r="FD55">
            <v>0</v>
          </cell>
          <cell r="FE55">
            <v>0</v>
          </cell>
          <cell r="FF55">
            <v>17.93</v>
          </cell>
          <cell r="FG55">
            <v>17.92999267578125</v>
          </cell>
          <cell r="FH55" t="str">
            <v>С УЛК (ЖЭУ)</v>
          </cell>
          <cell r="FI55">
            <v>43647</v>
          </cell>
          <cell r="FJ55">
            <v>15477</v>
          </cell>
          <cell r="FK55">
            <v>15477</v>
          </cell>
          <cell r="FL55">
            <v>981.6</v>
          </cell>
          <cell r="FM55">
            <v>78.92</v>
          </cell>
          <cell r="FN55">
            <v>1271.1599999999999</v>
          </cell>
          <cell r="FO55">
            <v>3813.4799999999996</v>
          </cell>
        </row>
        <row r="56">
          <cell r="AI56" t="str">
            <v>Ул. Центральная дом 4/а</v>
          </cell>
          <cell r="AJ56">
            <v>3813.478515625</v>
          </cell>
          <cell r="AK56">
            <v>408</v>
          </cell>
          <cell r="AL56">
            <v>243.5</v>
          </cell>
          <cell r="AM56">
            <v>1</v>
          </cell>
          <cell r="AN56">
            <v>1</v>
          </cell>
          <cell r="AO56" t="str">
            <v>АО УЖХ Демского района</v>
          </cell>
          <cell r="AP56">
            <v>386.02</v>
          </cell>
          <cell r="AQ56">
            <v>19.579999999999998</v>
          </cell>
          <cell r="AR56">
            <v>32.799999999999997</v>
          </cell>
          <cell r="AS56">
            <v>3.6</v>
          </cell>
          <cell r="AT56">
            <v>8</v>
          </cell>
          <cell r="AU56">
            <v>2</v>
          </cell>
          <cell r="AV56">
            <v>27</v>
          </cell>
          <cell r="AW56">
            <v>0</v>
          </cell>
          <cell r="AX56">
            <v>0</v>
          </cell>
          <cell r="AY56">
            <v>0</v>
          </cell>
          <cell r="AZ56">
            <v>86.8</v>
          </cell>
          <cell r="BA56">
            <v>1074</v>
          </cell>
          <cell r="BB56">
            <v>1074</v>
          </cell>
          <cell r="BC56" t="str">
            <v>Непосредственное</v>
          </cell>
          <cell r="BD56" t="str">
            <v>1. Жилой дом</v>
          </cell>
          <cell r="BE56">
            <v>66.75</v>
          </cell>
          <cell r="BF56" t="str">
            <v>2.Чёрный</v>
          </cell>
          <cell r="BG56">
            <v>66.75</v>
          </cell>
          <cell r="BH56" t="str">
            <v>3.Водяной</v>
          </cell>
          <cell r="BI56" t="str">
            <v>МУП УИС</v>
          </cell>
          <cell r="BJ56" t="str">
            <v>1. Чугун</v>
          </cell>
          <cell r="BK56">
            <v>66.75</v>
          </cell>
          <cell r="BL56" t="str">
            <v>3.Бетон/блок</v>
          </cell>
          <cell r="BM56">
            <v>20821</v>
          </cell>
          <cell r="BN56">
            <v>8</v>
          </cell>
          <cell r="BO56" t="str">
            <v>Оборудован</v>
          </cell>
          <cell r="BP56" t="str">
            <v>1.Абсоцемент(шифер)</v>
          </cell>
          <cell r="BQ56" t="str">
            <v>1.Скатная</v>
          </cell>
          <cell r="BR56">
            <v>364</v>
          </cell>
          <cell r="BS56">
            <v>303.60000000000002</v>
          </cell>
          <cell r="BT56">
            <v>303.599853515625</v>
          </cell>
          <cell r="BU56">
            <v>303.599853515625</v>
          </cell>
          <cell r="BV56">
            <v>0</v>
          </cell>
          <cell r="BW56" t="str">
            <v>3.Частный жилищный фонд</v>
          </cell>
          <cell r="BX56">
            <v>8</v>
          </cell>
          <cell r="BY56">
            <v>0</v>
          </cell>
          <cell r="BZ56" t="str">
            <v>3-я</v>
          </cell>
          <cell r="CA56">
            <v>1</v>
          </cell>
          <cell r="CB56">
            <v>27.01</v>
          </cell>
          <cell r="CC56">
            <v>1</v>
          </cell>
          <cell r="CD56">
            <v>1</v>
          </cell>
          <cell r="CE56">
            <v>1</v>
          </cell>
          <cell r="CF56" t="str">
            <v>ООО "Гранд"</v>
          </cell>
          <cell r="CG56">
            <v>7</v>
          </cell>
          <cell r="CH56">
            <v>1</v>
          </cell>
          <cell r="CI56">
            <v>1</v>
          </cell>
          <cell r="CJ56">
            <v>1</v>
          </cell>
          <cell r="CK56">
            <v>0</v>
          </cell>
          <cell r="CL56">
            <v>0</v>
          </cell>
          <cell r="CM56">
            <v>12</v>
          </cell>
          <cell r="CN56">
            <v>36.4</v>
          </cell>
          <cell r="CO56">
            <v>0</v>
          </cell>
          <cell r="CP56">
            <v>340</v>
          </cell>
          <cell r="CQ56">
            <v>340</v>
          </cell>
          <cell r="CR56">
            <v>340</v>
          </cell>
          <cell r="CS56">
            <v>0</v>
          </cell>
          <cell r="CT56">
            <v>8</v>
          </cell>
          <cell r="CU56">
            <v>0</v>
          </cell>
          <cell r="CV56">
            <v>0</v>
          </cell>
          <cell r="CW56">
            <v>0</v>
          </cell>
          <cell r="CX56">
            <v>1</v>
          </cell>
          <cell r="CY56">
            <v>1</v>
          </cell>
          <cell r="CZ56">
            <v>1940</v>
          </cell>
          <cell r="DA56" t="str">
            <v>Демский</v>
          </cell>
          <cell r="DB56" t="str">
            <v>2.Деревянные</v>
          </cell>
          <cell r="DC56">
            <v>1940</v>
          </cell>
          <cell r="DD56">
            <v>1940</v>
          </cell>
          <cell r="DE56">
            <v>1940</v>
          </cell>
          <cell r="DF56">
            <v>1940</v>
          </cell>
          <cell r="DG56">
            <v>1940</v>
          </cell>
          <cell r="DH56">
            <v>1940</v>
          </cell>
          <cell r="DI56">
            <v>1940</v>
          </cell>
          <cell r="DJ56">
            <v>1940</v>
          </cell>
          <cell r="DK56">
            <v>0</v>
          </cell>
          <cell r="DL56">
            <v>0</v>
          </cell>
          <cell r="DM56">
            <v>955433</v>
          </cell>
          <cell r="DN56">
            <v>0</v>
          </cell>
          <cell r="DO56">
            <v>0</v>
          </cell>
          <cell r="DP56" t="str">
            <v>УЖХ</v>
          </cell>
          <cell r="DQ56">
            <v>35781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 t="str">
            <v>3.Зависимая схема</v>
          </cell>
          <cell r="EE56" t="str">
            <v>Верхний</v>
          </cell>
          <cell r="EF56">
            <v>0</v>
          </cell>
          <cell r="EG56">
            <v>0</v>
          </cell>
          <cell r="EH56">
            <v>0</v>
          </cell>
          <cell r="EI56">
            <v>1074</v>
          </cell>
          <cell r="EJ56">
            <v>20.8</v>
          </cell>
          <cell r="EK56">
            <v>20.79998779296875</v>
          </cell>
          <cell r="EL56">
            <v>20.79998779296875</v>
          </cell>
          <cell r="EM56">
            <v>66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>
            <v>0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19.86</v>
          </cell>
          <cell r="FG56">
            <v>19.8599853515625</v>
          </cell>
          <cell r="FH56" t="str">
            <v>С УЛК (ЖЭУ)</v>
          </cell>
          <cell r="FI56">
            <v>43647</v>
          </cell>
          <cell r="FJ56">
            <v>15477</v>
          </cell>
          <cell r="FK56">
            <v>15477</v>
          </cell>
          <cell r="FL56">
            <v>748</v>
          </cell>
          <cell r="FM56">
            <v>78.92</v>
          </cell>
          <cell r="FN56">
            <v>847.44</v>
          </cell>
          <cell r="FO56">
            <v>2542.3200000000002</v>
          </cell>
        </row>
        <row r="57">
          <cell r="AI57" t="str">
            <v>Ул. Центральная дом 6</v>
          </cell>
          <cell r="AJ57">
            <v>2542.318359375</v>
          </cell>
          <cell r="AK57">
            <v>898.7</v>
          </cell>
          <cell r="AL57">
            <v>595.20000000000005</v>
          </cell>
          <cell r="AM57">
            <v>2</v>
          </cell>
          <cell r="AN57">
            <v>2</v>
          </cell>
          <cell r="AO57" t="str">
            <v>АО УЖХ Демского района</v>
          </cell>
          <cell r="AP57">
            <v>842.87</v>
          </cell>
          <cell r="AQ57">
            <v>56.83</v>
          </cell>
          <cell r="AR57">
            <v>76</v>
          </cell>
          <cell r="AS57">
            <v>5.7</v>
          </cell>
          <cell r="AT57">
            <v>12</v>
          </cell>
          <cell r="AU57">
            <v>2</v>
          </cell>
          <cell r="AV57">
            <v>44</v>
          </cell>
          <cell r="AW57">
            <v>0</v>
          </cell>
          <cell r="AX57">
            <v>0</v>
          </cell>
          <cell r="AY57">
            <v>0</v>
          </cell>
          <cell r="AZ57">
            <v>612.9</v>
          </cell>
          <cell r="BA57">
            <v>1002</v>
          </cell>
          <cell r="BB57">
            <v>1002</v>
          </cell>
          <cell r="BC57" t="str">
            <v>Непосредственное</v>
          </cell>
          <cell r="BD57" t="str">
            <v>1. Жилой дом</v>
          </cell>
          <cell r="BE57">
            <v>67.75</v>
          </cell>
          <cell r="BF57" t="str">
            <v>2.Чёрный</v>
          </cell>
          <cell r="BG57">
            <v>67.75</v>
          </cell>
          <cell r="BH57" t="str">
            <v>3.Водяной</v>
          </cell>
          <cell r="BI57" t="str">
            <v>МУП УИС</v>
          </cell>
          <cell r="BJ57" t="str">
            <v>1. Чугун</v>
          </cell>
          <cell r="BK57">
            <v>67.75</v>
          </cell>
          <cell r="BL57" t="str">
            <v>4.Шлакоблок</v>
          </cell>
          <cell r="BM57">
            <v>20455</v>
          </cell>
          <cell r="BN57">
            <v>12</v>
          </cell>
          <cell r="BO57" t="str">
            <v>Оборудован</v>
          </cell>
          <cell r="BP57" t="str">
            <v>1.Абсоцемент(шифер)</v>
          </cell>
          <cell r="BQ57" t="str">
            <v>1.Скатная</v>
          </cell>
          <cell r="BR57">
            <v>837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 t="str">
            <v>3.Частный жилищный фонд</v>
          </cell>
          <cell r="BX57">
            <v>12</v>
          </cell>
          <cell r="BY57">
            <v>0</v>
          </cell>
          <cell r="BZ57" t="str">
            <v>3-я</v>
          </cell>
          <cell r="CA57">
            <v>1</v>
          </cell>
          <cell r="CB57">
            <v>27.01</v>
          </cell>
          <cell r="CC57">
            <v>1</v>
          </cell>
          <cell r="CD57">
            <v>1</v>
          </cell>
          <cell r="CE57">
            <v>1</v>
          </cell>
          <cell r="CF57" t="str">
            <v>ООО "Гранд"</v>
          </cell>
          <cell r="CG57">
            <v>10</v>
          </cell>
          <cell r="CH57">
            <v>2</v>
          </cell>
          <cell r="CI57">
            <v>2</v>
          </cell>
          <cell r="CJ57">
            <v>2</v>
          </cell>
          <cell r="CK57">
            <v>0</v>
          </cell>
          <cell r="CL57">
            <v>0</v>
          </cell>
          <cell r="CM57">
            <v>25</v>
          </cell>
          <cell r="CN57">
            <v>81.7</v>
          </cell>
          <cell r="CO57">
            <v>0</v>
          </cell>
          <cell r="CP57">
            <v>81.7</v>
          </cell>
          <cell r="CQ57">
            <v>81.699951171875</v>
          </cell>
          <cell r="CR57">
            <v>81.699951171875</v>
          </cell>
          <cell r="CS57">
            <v>0</v>
          </cell>
          <cell r="CT57">
            <v>12</v>
          </cell>
          <cell r="CU57">
            <v>0</v>
          </cell>
          <cell r="CV57">
            <v>0</v>
          </cell>
          <cell r="CW57">
            <v>0</v>
          </cell>
          <cell r="CX57">
            <v>1</v>
          </cell>
          <cell r="CY57">
            <v>1</v>
          </cell>
          <cell r="CZ57">
            <v>4128</v>
          </cell>
          <cell r="DA57" t="str">
            <v>Демский</v>
          </cell>
          <cell r="DB57" t="str">
            <v>2.Деревянные</v>
          </cell>
          <cell r="DC57">
            <v>4128</v>
          </cell>
          <cell r="DD57">
            <v>4128</v>
          </cell>
          <cell r="DE57">
            <v>4128</v>
          </cell>
          <cell r="DF57">
            <v>4128</v>
          </cell>
          <cell r="DG57">
            <v>4128</v>
          </cell>
          <cell r="DH57">
            <v>4128</v>
          </cell>
          <cell r="DI57">
            <v>4128</v>
          </cell>
          <cell r="DJ57">
            <v>4128</v>
          </cell>
          <cell r="DK57">
            <v>0</v>
          </cell>
          <cell r="DL57">
            <v>0</v>
          </cell>
          <cell r="DM57">
            <v>1522790</v>
          </cell>
          <cell r="DN57">
            <v>0</v>
          </cell>
          <cell r="DO57">
            <v>0</v>
          </cell>
          <cell r="DP57" t="str">
            <v>УЖХ</v>
          </cell>
          <cell r="DQ57">
            <v>35748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 t="str">
            <v>3.Зависимая схема</v>
          </cell>
          <cell r="EE57" t="str">
            <v>Верхний</v>
          </cell>
          <cell r="EF57">
            <v>0</v>
          </cell>
          <cell r="EG57">
            <v>0</v>
          </cell>
          <cell r="EH57">
            <v>0</v>
          </cell>
          <cell r="EI57">
            <v>1002</v>
          </cell>
          <cell r="EJ57">
            <v>320.39999999999998</v>
          </cell>
          <cell r="EK57">
            <v>178.3</v>
          </cell>
          <cell r="EL57">
            <v>178.2999267578125</v>
          </cell>
          <cell r="EM57">
            <v>66.5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47.7</v>
          </cell>
          <cell r="FB57">
            <v>1</v>
          </cell>
          <cell r="FC57">
            <v>1</v>
          </cell>
          <cell r="FD57">
            <v>0</v>
          </cell>
          <cell r="FE57">
            <v>0</v>
          </cell>
          <cell r="FF57">
            <v>17.75</v>
          </cell>
          <cell r="FG57">
            <v>17.75</v>
          </cell>
          <cell r="FH57" t="str">
            <v>С УЛК (ЖЭУ)</v>
          </cell>
          <cell r="FI57">
            <v>43647</v>
          </cell>
          <cell r="FJ57">
            <v>15477</v>
          </cell>
          <cell r="FK57">
            <v>15477</v>
          </cell>
          <cell r="FL57">
            <v>980.4</v>
          </cell>
          <cell r="FM57">
            <v>78.92</v>
          </cell>
          <cell r="FN57">
            <v>1271.1599999999999</v>
          </cell>
          <cell r="FO57">
            <v>3813.4799999999996</v>
          </cell>
        </row>
        <row r="58">
          <cell r="AI58" t="str">
            <v>Ул. Центральная дом 6/1</v>
          </cell>
          <cell r="AJ58">
            <v>3813.478515625</v>
          </cell>
          <cell r="AK58">
            <v>2917</v>
          </cell>
          <cell r="AL58">
            <v>1666.9</v>
          </cell>
          <cell r="AM58">
            <v>4</v>
          </cell>
          <cell r="AN58">
            <v>4</v>
          </cell>
          <cell r="AO58" t="str">
            <v>АО УЖХ Демского района</v>
          </cell>
          <cell r="AP58">
            <v>2864.9</v>
          </cell>
          <cell r="AQ58">
            <v>50.8</v>
          </cell>
          <cell r="AR58">
            <v>302.2</v>
          </cell>
          <cell r="AS58">
            <v>20.6</v>
          </cell>
          <cell r="AT58">
            <v>59</v>
          </cell>
          <cell r="AU58">
            <v>5</v>
          </cell>
          <cell r="AV58">
            <v>129</v>
          </cell>
          <cell r="AW58">
            <v>0</v>
          </cell>
          <cell r="AX58">
            <v>0</v>
          </cell>
          <cell r="AY58">
            <v>0</v>
          </cell>
          <cell r="AZ58">
            <v>1091</v>
          </cell>
          <cell r="BA58">
            <v>1551.9</v>
          </cell>
          <cell r="BB58">
            <v>1551.8994140625</v>
          </cell>
          <cell r="BC58" t="str">
            <v>Управляющая компания</v>
          </cell>
          <cell r="BD58" t="str">
            <v>1. Жилой дом</v>
          </cell>
          <cell r="BE58">
            <v>32.6</v>
          </cell>
          <cell r="BF58" t="str">
            <v>1.Оцинкованный</v>
          </cell>
          <cell r="BG58" t="str">
            <v>2.Чёрный</v>
          </cell>
          <cell r="BH58" t="str">
            <v>3.Водяной</v>
          </cell>
          <cell r="BI58" t="str">
            <v>МУП УИС</v>
          </cell>
          <cell r="BJ58" t="str">
            <v>1. Чугун</v>
          </cell>
          <cell r="BK58">
            <v>32.5999755859375</v>
          </cell>
          <cell r="BL58" t="str">
            <v>2.Кирпич</v>
          </cell>
          <cell r="BM58">
            <v>30317</v>
          </cell>
          <cell r="BN58">
            <v>30317</v>
          </cell>
          <cell r="BO58" t="str">
            <v>Оборудован</v>
          </cell>
          <cell r="BP58" t="str">
            <v>4.Мягк/рулонная</v>
          </cell>
          <cell r="BQ58" t="str">
            <v>2.Плоская</v>
          </cell>
          <cell r="BR58">
            <v>1074</v>
          </cell>
          <cell r="BS58">
            <v>809.9</v>
          </cell>
          <cell r="BT58">
            <v>809.89990234375</v>
          </cell>
          <cell r="BU58">
            <v>809.89990234375</v>
          </cell>
          <cell r="BV58">
            <v>0</v>
          </cell>
          <cell r="BW58" t="str">
            <v>3.Частный жилищный фонд</v>
          </cell>
          <cell r="BX58">
            <v>59</v>
          </cell>
          <cell r="BY58">
            <v>0</v>
          </cell>
          <cell r="BZ58" t="str">
            <v>2-я</v>
          </cell>
          <cell r="CA58">
            <v>1</v>
          </cell>
          <cell r="CB58">
            <v>27.01</v>
          </cell>
          <cell r="CC58">
            <v>27.009994506835938</v>
          </cell>
          <cell r="CD58">
            <v>2915.7</v>
          </cell>
          <cell r="CE58">
            <v>2915.69921875</v>
          </cell>
          <cell r="CF58" t="str">
            <v>ООО "Гранд"</v>
          </cell>
          <cell r="CG58">
            <v>58</v>
          </cell>
          <cell r="CH58">
            <v>1</v>
          </cell>
          <cell r="CI58">
            <v>1</v>
          </cell>
          <cell r="CJ58">
            <v>1</v>
          </cell>
          <cell r="CK58">
            <v>0</v>
          </cell>
          <cell r="CL58">
            <v>1</v>
          </cell>
          <cell r="CM58">
            <v>59</v>
          </cell>
          <cell r="CN58">
            <v>322.8</v>
          </cell>
          <cell r="CO58">
            <v>322.8</v>
          </cell>
          <cell r="CP58">
            <v>1132.7</v>
          </cell>
          <cell r="CQ58">
            <v>1132.69921875</v>
          </cell>
          <cell r="CR58">
            <v>1132.69921875</v>
          </cell>
          <cell r="CS58">
            <v>0</v>
          </cell>
          <cell r="CT58">
            <v>59</v>
          </cell>
          <cell r="CU58">
            <v>0</v>
          </cell>
          <cell r="CV58">
            <v>53</v>
          </cell>
          <cell r="CW58">
            <v>39</v>
          </cell>
          <cell r="CX58">
            <v>1</v>
          </cell>
          <cell r="CY58">
            <v>1</v>
          </cell>
          <cell r="CZ58">
            <v>13908</v>
          </cell>
          <cell r="DA58" t="str">
            <v>Демский</v>
          </cell>
          <cell r="DB58" t="str">
            <v>3.Сборные ж/б панели</v>
          </cell>
          <cell r="DC58">
            <v>13908</v>
          </cell>
          <cell r="DD58">
            <v>1</v>
          </cell>
          <cell r="DE58">
            <v>13367</v>
          </cell>
          <cell r="DF58" t="str">
            <v>Пластинчатый</v>
          </cell>
          <cell r="DG58" t="str">
            <v>ГВС</v>
          </cell>
          <cell r="DH58" t="str">
            <v>АНО ЦЭС ЮГ</v>
          </cell>
          <cell r="DI58">
            <v>13367</v>
          </cell>
          <cell r="DJ58">
            <v>13367</v>
          </cell>
          <cell r="DK58">
            <v>13367</v>
          </cell>
          <cell r="DL58">
            <v>13367</v>
          </cell>
          <cell r="DM58">
            <v>6344611</v>
          </cell>
          <cell r="DN58">
            <v>4</v>
          </cell>
          <cell r="DO58" t="str">
            <v>ГВС</v>
          </cell>
          <cell r="DP58" t="str">
            <v>УЖХ</v>
          </cell>
          <cell r="DQ58">
            <v>35621</v>
          </cell>
          <cell r="DR58">
            <v>0</v>
          </cell>
          <cell r="DS58">
            <v>0</v>
          </cell>
          <cell r="DT58">
            <v>59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 t="str">
            <v>3.Зависимая схема</v>
          </cell>
          <cell r="EE58" t="str">
            <v>Нижний</v>
          </cell>
          <cell r="EF58">
            <v>0</v>
          </cell>
          <cell r="EG58">
            <v>0</v>
          </cell>
          <cell r="EH58">
            <v>1435</v>
          </cell>
          <cell r="EI58">
            <v>116.9</v>
          </cell>
          <cell r="EJ58">
            <v>107.6</v>
          </cell>
          <cell r="EK58">
            <v>705.4</v>
          </cell>
          <cell r="EL58">
            <v>705.39990234375</v>
          </cell>
          <cell r="EM58">
            <v>236.7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41.3</v>
          </cell>
          <cell r="FB58">
            <v>1</v>
          </cell>
          <cell r="FC58">
            <v>1</v>
          </cell>
          <cell r="FD58">
            <v>0</v>
          </cell>
          <cell r="FE58">
            <v>0</v>
          </cell>
          <cell r="FF58">
            <v>15.48</v>
          </cell>
          <cell r="FG58">
            <v>2</v>
          </cell>
          <cell r="FH58">
            <v>2</v>
          </cell>
          <cell r="FI58">
            <v>44713</v>
          </cell>
          <cell r="FJ58">
            <v>15477</v>
          </cell>
          <cell r="FK58">
            <v>15477</v>
          </cell>
          <cell r="FL58">
            <v>4049.7</v>
          </cell>
          <cell r="FM58">
            <v>78.92</v>
          </cell>
          <cell r="FN58">
            <v>1593.5900000000001</v>
          </cell>
          <cell r="FO58">
            <v>4780.7700000000004</v>
          </cell>
        </row>
        <row r="59">
          <cell r="AI59" t="str">
            <v>Ул. Центральная дом 8</v>
          </cell>
          <cell r="AJ59">
            <v>4780.76953125</v>
          </cell>
          <cell r="AK59">
            <v>1364.6</v>
          </cell>
          <cell r="AL59">
            <v>900.9</v>
          </cell>
          <cell r="AM59">
            <v>3</v>
          </cell>
          <cell r="AN59">
            <v>3</v>
          </cell>
          <cell r="AO59" t="str">
            <v>АО УЖХ Демского района</v>
          </cell>
          <cell r="AP59">
            <v>1305.94</v>
          </cell>
          <cell r="AQ59">
            <v>52.36</v>
          </cell>
          <cell r="AR59">
            <v>150.5</v>
          </cell>
          <cell r="AS59">
            <v>15.3</v>
          </cell>
          <cell r="AT59">
            <v>18</v>
          </cell>
          <cell r="AU59">
            <v>3</v>
          </cell>
          <cell r="AV59">
            <v>56</v>
          </cell>
          <cell r="AW59">
            <v>0</v>
          </cell>
          <cell r="AX59">
            <v>0</v>
          </cell>
          <cell r="AY59">
            <v>442.3</v>
          </cell>
          <cell r="AZ59">
            <v>1559.2</v>
          </cell>
          <cell r="BA59">
            <v>1894.8</v>
          </cell>
          <cell r="BB59">
            <v>1894.7998046875</v>
          </cell>
          <cell r="BC59" t="str">
            <v>Непосредственное</v>
          </cell>
          <cell r="BD59" t="str">
            <v>1. Жилой дом</v>
          </cell>
          <cell r="BE59">
            <v>53.4</v>
          </cell>
          <cell r="BF59" t="str">
            <v>3.Полипропилен</v>
          </cell>
          <cell r="BG59">
            <v>53.399993896484375</v>
          </cell>
          <cell r="BH59" t="str">
            <v>3.Водяной</v>
          </cell>
          <cell r="BI59" t="str">
            <v>МУП УИС</v>
          </cell>
          <cell r="BJ59" t="str">
            <v>1. Чугун</v>
          </cell>
          <cell r="BK59">
            <v>53.399993896484375</v>
          </cell>
          <cell r="BL59" t="str">
            <v>2.Кирпич</v>
          </cell>
          <cell r="BM59">
            <v>20821</v>
          </cell>
          <cell r="BN59">
            <v>18</v>
          </cell>
          <cell r="BO59" t="str">
            <v>Оборудован</v>
          </cell>
          <cell r="BP59" t="str">
            <v>1.Абсоцемент(шифер)</v>
          </cell>
          <cell r="BQ59" t="str">
            <v>1.Скатная</v>
          </cell>
          <cell r="BR59">
            <v>1201</v>
          </cell>
          <cell r="BS59">
            <v>160</v>
          </cell>
          <cell r="BT59">
            <v>160</v>
          </cell>
          <cell r="BU59">
            <v>160</v>
          </cell>
          <cell r="BV59">
            <v>0</v>
          </cell>
          <cell r="BW59" t="str">
            <v>3.Частный жилищный фонд</v>
          </cell>
          <cell r="BX59">
            <v>18</v>
          </cell>
          <cell r="BY59">
            <v>0</v>
          </cell>
          <cell r="BZ59" t="str">
            <v>2-я</v>
          </cell>
          <cell r="CA59">
            <v>1</v>
          </cell>
          <cell r="CB59">
            <v>27.01</v>
          </cell>
          <cell r="CC59">
            <v>1</v>
          </cell>
          <cell r="CD59">
            <v>1</v>
          </cell>
          <cell r="CE59">
            <v>60.8</v>
          </cell>
          <cell r="CF59" t="str">
            <v>ООО "Гранд"</v>
          </cell>
          <cell r="CG59">
            <v>17</v>
          </cell>
          <cell r="CH59">
            <v>1</v>
          </cell>
          <cell r="CI59">
            <v>1</v>
          </cell>
          <cell r="CJ59">
            <v>1</v>
          </cell>
          <cell r="CK59">
            <v>0</v>
          </cell>
          <cell r="CL59">
            <v>0</v>
          </cell>
          <cell r="CM59">
            <v>34</v>
          </cell>
          <cell r="CN59">
            <v>165.8</v>
          </cell>
          <cell r="CO59">
            <v>0</v>
          </cell>
          <cell r="CP59">
            <v>325.8</v>
          </cell>
          <cell r="CQ59">
            <v>325.7998046875</v>
          </cell>
          <cell r="CR59">
            <v>325.7998046875</v>
          </cell>
          <cell r="CS59">
            <v>0</v>
          </cell>
          <cell r="CT59">
            <v>18</v>
          </cell>
          <cell r="CU59">
            <v>0</v>
          </cell>
          <cell r="CV59">
            <v>0</v>
          </cell>
          <cell r="CW59">
            <v>0</v>
          </cell>
          <cell r="CX59">
            <v>1</v>
          </cell>
          <cell r="CY59">
            <v>1</v>
          </cell>
          <cell r="CZ59">
            <v>11063</v>
          </cell>
          <cell r="DA59" t="str">
            <v>Демский</v>
          </cell>
          <cell r="DB59" t="str">
            <v>3.Сборные ж/б панели</v>
          </cell>
          <cell r="DC59">
            <v>11063</v>
          </cell>
          <cell r="DD59">
            <v>11063</v>
          </cell>
          <cell r="DE59">
            <v>11063</v>
          </cell>
          <cell r="DF59">
            <v>11063</v>
          </cell>
          <cell r="DG59">
            <v>11063</v>
          </cell>
          <cell r="DH59">
            <v>11063</v>
          </cell>
          <cell r="DI59">
            <v>11063</v>
          </cell>
          <cell r="DJ59">
            <v>11063</v>
          </cell>
          <cell r="DK59">
            <v>0</v>
          </cell>
          <cell r="DL59">
            <v>0</v>
          </cell>
          <cell r="DM59">
            <v>3625593</v>
          </cell>
          <cell r="DN59">
            <v>1</v>
          </cell>
          <cell r="DO59">
            <v>1</v>
          </cell>
          <cell r="DP59" t="str">
            <v>УЖХ</v>
          </cell>
          <cell r="DQ59">
            <v>39979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 t="str">
            <v>3.Зависимая схема</v>
          </cell>
          <cell r="EE59" t="str">
            <v>Верхний</v>
          </cell>
          <cell r="EF59">
            <v>0</v>
          </cell>
          <cell r="EG59">
            <v>0</v>
          </cell>
          <cell r="EH59">
            <v>0</v>
          </cell>
          <cell r="EI59">
            <v>1894.8</v>
          </cell>
          <cell r="EJ59">
            <v>179.3</v>
          </cell>
          <cell r="EK59">
            <v>1159</v>
          </cell>
          <cell r="EL59">
            <v>0</v>
          </cell>
          <cell r="EM59">
            <v>46.4</v>
          </cell>
          <cell r="EN59">
            <v>2</v>
          </cell>
          <cell r="EO59">
            <v>2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32</v>
          </cell>
          <cell r="EX59">
            <v>1</v>
          </cell>
          <cell r="EY59">
            <v>1</v>
          </cell>
          <cell r="EZ59">
            <v>0</v>
          </cell>
          <cell r="FA59">
            <v>142.5</v>
          </cell>
          <cell r="FB59">
            <v>1</v>
          </cell>
          <cell r="FC59">
            <v>1</v>
          </cell>
          <cell r="FD59">
            <v>0</v>
          </cell>
          <cell r="FE59">
            <v>0</v>
          </cell>
          <cell r="FF59">
            <v>18.420000000000002</v>
          </cell>
          <cell r="FG59">
            <v>18.419998168945313</v>
          </cell>
          <cell r="FH59" t="str">
            <v>С УЛК (ЖЭУ)</v>
          </cell>
          <cell r="FI59">
            <v>43647</v>
          </cell>
          <cell r="FJ59">
            <v>15477</v>
          </cell>
          <cell r="FK59">
            <v>15477</v>
          </cell>
          <cell r="FL59">
            <v>2132.6999999999998</v>
          </cell>
          <cell r="FM59">
            <v>78.92</v>
          </cell>
          <cell r="FN59">
            <v>1906.74</v>
          </cell>
          <cell r="FO59">
            <v>5720.22</v>
          </cell>
        </row>
        <row r="60">
          <cell r="AI60" t="str">
            <v>Ул. Центральная дом 10</v>
          </cell>
          <cell r="AJ60">
            <v>5720.21875</v>
          </cell>
          <cell r="AK60">
            <v>809.4</v>
          </cell>
          <cell r="AL60">
            <v>536.4</v>
          </cell>
          <cell r="AM60">
            <v>2</v>
          </cell>
          <cell r="AN60">
            <v>2</v>
          </cell>
          <cell r="AO60" t="str">
            <v>АО УЖХ Демского района</v>
          </cell>
          <cell r="AP60">
            <v>685.66</v>
          </cell>
          <cell r="AQ60">
            <v>124.74</v>
          </cell>
          <cell r="AR60">
            <v>83.4</v>
          </cell>
          <cell r="AS60">
            <v>5.4</v>
          </cell>
          <cell r="AT60">
            <v>11</v>
          </cell>
          <cell r="AU60">
            <v>2</v>
          </cell>
          <cell r="AV60">
            <v>37</v>
          </cell>
          <cell r="AW60">
            <v>0</v>
          </cell>
          <cell r="AX60">
            <v>0</v>
          </cell>
          <cell r="AY60">
            <v>83.7</v>
          </cell>
          <cell r="AZ60">
            <v>601.29999999999995</v>
          </cell>
          <cell r="BA60">
            <v>1920.6</v>
          </cell>
          <cell r="BB60">
            <v>1920.599609375</v>
          </cell>
          <cell r="BC60" t="str">
            <v>Непосредственное</v>
          </cell>
          <cell r="BD60" t="str">
            <v>1. Жилой дом</v>
          </cell>
          <cell r="BE60">
            <v>67.75</v>
          </cell>
          <cell r="BF60" t="str">
            <v>1.Оцинкованный</v>
          </cell>
          <cell r="BG60">
            <v>67.75</v>
          </cell>
          <cell r="BH60" t="str">
            <v>3.Водяной</v>
          </cell>
          <cell r="BI60" t="str">
            <v>МУП УИС</v>
          </cell>
          <cell r="BJ60" t="str">
            <v>1. Чугун</v>
          </cell>
          <cell r="BK60">
            <v>67.75</v>
          </cell>
          <cell r="BL60" t="str">
            <v>4.Шлакоблок</v>
          </cell>
          <cell r="BM60">
            <v>20455</v>
          </cell>
          <cell r="BN60">
            <v>11</v>
          </cell>
          <cell r="BO60" t="str">
            <v>Оборудован</v>
          </cell>
          <cell r="BP60" t="str">
            <v>8.Профнастил</v>
          </cell>
          <cell r="BQ60" t="str">
            <v>1.Скатная</v>
          </cell>
          <cell r="BR60">
            <v>826.7</v>
          </cell>
          <cell r="BS60">
            <v>880.8</v>
          </cell>
          <cell r="BT60">
            <v>880.7998046875</v>
          </cell>
          <cell r="BU60">
            <v>880.7998046875</v>
          </cell>
          <cell r="BV60">
            <v>0</v>
          </cell>
          <cell r="BW60" t="str">
            <v>3.Частный жилищный фонд</v>
          </cell>
          <cell r="BX60">
            <v>11</v>
          </cell>
          <cell r="BY60">
            <v>0</v>
          </cell>
          <cell r="BZ60" t="str">
            <v>3-я</v>
          </cell>
          <cell r="CA60">
            <v>1</v>
          </cell>
          <cell r="CB60">
            <v>27.01</v>
          </cell>
          <cell r="CC60">
            <v>1</v>
          </cell>
          <cell r="CD60">
            <v>1</v>
          </cell>
          <cell r="CE60">
            <v>84.8</v>
          </cell>
          <cell r="CF60" t="str">
            <v>ООО "Гранд"</v>
          </cell>
          <cell r="CG60">
            <v>8</v>
          </cell>
          <cell r="CH60">
            <v>3</v>
          </cell>
          <cell r="CI60">
            <v>3</v>
          </cell>
          <cell r="CJ60">
            <v>3</v>
          </cell>
          <cell r="CK60">
            <v>0</v>
          </cell>
          <cell r="CL60">
            <v>0</v>
          </cell>
          <cell r="CM60">
            <v>20</v>
          </cell>
          <cell r="CN60">
            <v>88.8</v>
          </cell>
          <cell r="CO60">
            <v>0</v>
          </cell>
          <cell r="CP60">
            <v>969.6</v>
          </cell>
          <cell r="CQ60">
            <v>969.599609375</v>
          </cell>
          <cell r="CR60">
            <v>969.599609375</v>
          </cell>
          <cell r="CS60">
            <v>0</v>
          </cell>
          <cell r="CT60">
            <v>11</v>
          </cell>
          <cell r="CU60">
            <v>0</v>
          </cell>
          <cell r="CV60">
            <v>0</v>
          </cell>
          <cell r="CW60">
            <v>0</v>
          </cell>
          <cell r="CX60">
            <v>1</v>
          </cell>
          <cell r="CY60">
            <v>1</v>
          </cell>
          <cell r="CZ60">
            <v>4434</v>
          </cell>
          <cell r="DA60" t="str">
            <v>Демский</v>
          </cell>
          <cell r="DB60" t="str">
            <v>2.Деревянные</v>
          </cell>
          <cell r="DC60">
            <v>4434</v>
          </cell>
          <cell r="DD60">
            <v>4434</v>
          </cell>
          <cell r="DE60">
            <v>4434</v>
          </cell>
          <cell r="DF60">
            <v>4434</v>
          </cell>
          <cell r="DG60">
            <v>4434</v>
          </cell>
          <cell r="DH60">
            <v>4434</v>
          </cell>
          <cell r="DI60">
            <v>4434</v>
          </cell>
          <cell r="DJ60">
            <v>4434</v>
          </cell>
          <cell r="DK60">
            <v>0</v>
          </cell>
          <cell r="DL60">
            <v>0</v>
          </cell>
          <cell r="DM60">
            <v>1636671</v>
          </cell>
          <cell r="DN60">
            <v>0</v>
          </cell>
          <cell r="DO60">
            <v>0</v>
          </cell>
          <cell r="DP60" t="str">
            <v>УЖХ</v>
          </cell>
          <cell r="DQ60">
            <v>33832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 t="str">
            <v>3.Зависимая схема</v>
          </cell>
          <cell r="EE60" t="str">
            <v>Верхний</v>
          </cell>
          <cell r="EF60">
            <v>0</v>
          </cell>
          <cell r="EG60">
            <v>0</v>
          </cell>
          <cell r="EH60">
            <v>0</v>
          </cell>
          <cell r="EI60">
            <v>1920.6</v>
          </cell>
          <cell r="EJ60">
            <v>268.60000000000002</v>
          </cell>
          <cell r="EK60">
            <v>256</v>
          </cell>
          <cell r="EL60">
            <v>256</v>
          </cell>
          <cell r="EM60">
            <v>76.7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17.41</v>
          </cell>
          <cell r="FG60">
            <v>17.409988403320313</v>
          </cell>
          <cell r="FH60" t="str">
            <v>С УЛК (ЖЭУ)</v>
          </cell>
          <cell r="FI60">
            <v>43647</v>
          </cell>
          <cell r="FJ60">
            <v>15477</v>
          </cell>
          <cell r="FK60">
            <v>15477</v>
          </cell>
          <cell r="FL60">
            <v>1862.7</v>
          </cell>
          <cell r="FM60">
            <v>78.92</v>
          </cell>
          <cell r="FN60">
            <v>1165.23</v>
          </cell>
          <cell r="FO60">
            <v>3495.69</v>
          </cell>
        </row>
        <row r="61">
          <cell r="AI61" t="str">
            <v>Ул. Центральная дом 12</v>
          </cell>
          <cell r="AJ61">
            <v>3495.689453125</v>
          </cell>
          <cell r="AK61">
            <v>894.3</v>
          </cell>
          <cell r="AL61">
            <v>592.9</v>
          </cell>
          <cell r="AM61">
            <v>2</v>
          </cell>
          <cell r="AN61">
            <v>2</v>
          </cell>
          <cell r="AO61" t="str">
            <v>АО УЖХ Демского района</v>
          </cell>
          <cell r="AP61">
            <v>726.32</v>
          </cell>
          <cell r="AQ61">
            <v>165.68</v>
          </cell>
          <cell r="AR61">
            <v>88.4</v>
          </cell>
          <cell r="AS61">
            <v>6.5</v>
          </cell>
          <cell r="AT61">
            <v>12</v>
          </cell>
          <cell r="AU61">
            <v>2</v>
          </cell>
          <cell r="AV61">
            <v>34</v>
          </cell>
          <cell r="AW61">
            <v>0</v>
          </cell>
          <cell r="AX61">
            <v>0</v>
          </cell>
          <cell r="AY61">
            <v>0</v>
          </cell>
          <cell r="AZ61">
            <v>912.7</v>
          </cell>
          <cell r="BA61">
            <v>749.4</v>
          </cell>
          <cell r="BB61">
            <v>749.39990234375</v>
          </cell>
          <cell r="BC61" t="str">
            <v>Непосредственное</v>
          </cell>
          <cell r="BD61" t="str">
            <v>1. Жилой дом</v>
          </cell>
          <cell r="BE61">
            <v>67.75</v>
          </cell>
          <cell r="BF61" t="str">
            <v>3.Полипропилен</v>
          </cell>
          <cell r="BG61">
            <v>67.75</v>
          </cell>
          <cell r="BH61" t="str">
            <v>3.Водяной</v>
          </cell>
          <cell r="BI61" t="str">
            <v>МУП УИС</v>
          </cell>
          <cell r="BJ61" t="str">
            <v>2. ПВХ</v>
          </cell>
          <cell r="BK61">
            <v>67.75</v>
          </cell>
          <cell r="BL61" t="str">
            <v>4.Шлакоблок</v>
          </cell>
          <cell r="BM61">
            <v>20455</v>
          </cell>
          <cell r="BN61">
            <v>12</v>
          </cell>
          <cell r="BO61" t="str">
            <v>Оборудован</v>
          </cell>
          <cell r="BP61" t="str">
            <v>1.Абсоцемент(шифер)</v>
          </cell>
          <cell r="BQ61" t="str">
            <v>1.Скатная</v>
          </cell>
          <cell r="BR61">
            <v>837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 t="str">
            <v>3.Частный жилищный фонд</v>
          </cell>
          <cell r="BX61">
            <v>12</v>
          </cell>
          <cell r="BY61">
            <v>0</v>
          </cell>
          <cell r="BZ61" t="str">
            <v>3-я</v>
          </cell>
          <cell r="CA61">
            <v>1</v>
          </cell>
          <cell r="CB61">
            <v>27.01</v>
          </cell>
          <cell r="CC61">
            <v>1</v>
          </cell>
          <cell r="CD61">
            <v>1</v>
          </cell>
          <cell r="CE61">
            <v>1</v>
          </cell>
          <cell r="CF61" t="str">
            <v>ООО "Гранд"</v>
          </cell>
          <cell r="CG61">
            <v>9</v>
          </cell>
          <cell r="CH61">
            <v>3</v>
          </cell>
          <cell r="CI61">
            <v>3</v>
          </cell>
          <cell r="CJ61">
            <v>3</v>
          </cell>
          <cell r="CK61">
            <v>0</v>
          </cell>
          <cell r="CL61">
            <v>1</v>
          </cell>
          <cell r="CM61">
            <v>15</v>
          </cell>
          <cell r="CN61">
            <v>94.9</v>
          </cell>
          <cell r="CO61">
            <v>0</v>
          </cell>
          <cell r="CP61">
            <v>94.9</v>
          </cell>
          <cell r="CQ61">
            <v>94.89996337890625</v>
          </cell>
          <cell r="CR61">
            <v>94.89996337890625</v>
          </cell>
          <cell r="CS61">
            <v>0</v>
          </cell>
          <cell r="CT61">
            <v>12</v>
          </cell>
          <cell r="CU61">
            <v>0</v>
          </cell>
          <cell r="CV61">
            <v>0</v>
          </cell>
          <cell r="CW61">
            <v>0</v>
          </cell>
          <cell r="CX61">
            <v>1</v>
          </cell>
          <cell r="CY61">
            <v>1</v>
          </cell>
          <cell r="CZ61">
            <v>4217</v>
          </cell>
          <cell r="DA61" t="str">
            <v>Демский</v>
          </cell>
          <cell r="DB61" t="str">
            <v>2.Деревянные</v>
          </cell>
          <cell r="DC61">
            <v>4217</v>
          </cell>
          <cell r="DD61">
            <v>4217</v>
          </cell>
          <cell r="DE61">
            <v>4217</v>
          </cell>
          <cell r="DF61">
            <v>4217</v>
          </cell>
          <cell r="DG61">
            <v>4217</v>
          </cell>
          <cell r="DH61">
            <v>4217</v>
          </cell>
          <cell r="DI61">
            <v>4217</v>
          </cell>
          <cell r="DJ61">
            <v>4217</v>
          </cell>
          <cell r="DK61">
            <v>0</v>
          </cell>
          <cell r="DL61">
            <v>0</v>
          </cell>
          <cell r="DM61">
            <v>1555621</v>
          </cell>
          <cell r="DN61">
            <v>0</v>
          </cell>
          <cell r="DO61">
            <v>0</v>
          </cell>
          <cell r="DP61" t="str">
            <v>УЖХ</v>
          </cell>
          <cell r="DQ61">
            <v>35748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 t="str">
            <v>3.Зависимая схема</v>
          </cell>
          <cell r="EE61" t="str">
            <v>Верхний</v>
          </cell>
          <cell r="EF61">
            <v>0</v>
          </cell>
          <cell r="EG61">
            <v>0</v>
          </cell>
          <cell r="EH61">
            <v>0</v>
          </cell>
          <cell r="EI61">
            <v>749.4</v>
          </cell>
          <cell r="EJ61">
            <v>315</v>
          </cell>
          <cell r="EK61">
            <v>328.7</v>
          </cell>
          <cell r="EL61">
            <v>120</v>
          </cell>
          <cell r="EM61">
            <v>49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100</v>
          </cell>
          <cell r="FB61">
            <v>1</v>
          </cell>
          <cell r="FC61">
            <v>1</v>
          </cell>
          <cell r="FD61">
            <v>0</v>
          </cell>
          <cell r="FE61">
            <v>0</v>
          </cell>
          <cell r="FF61">
            <v>15</v>
          </cell>
          <cell r="FG61">
            <v>15</v>
          </cell>
          <cell r="FH61" t="str">
            <v>расчет</v>
          </cell>
          <cell r="FI61">
            <v>43466</v>
          </cell>
          <cell r="FJ61">
            <v>15477</v>
          </cell>
          <cell r="FK61">
            <v>15477</v>
          </cell>
          <cell r="FL61">
            <v>989.2</v>
          </cell>
          <cell r="FM61">
            <v>78.92</v>
          </cell>
          <cell r="FN61">
            <v>1271.1599999999999</v>
          </cell>
          <cell r="FO61">
            <v>3813.4799999999996</v>
          </cell>
        </row>
        <row r="62">
          <cell r="AI62" t="str">
            <v>Ул. Магистральная дом 6</v>
          </cell>
          <cell r="AJ62">
            <v>3813.478515625</v>
          </cell>
          <cell r="AK62">
            <v>8229.7999999999993</v>
          </cell>
          <cell r="AL62">
            <v>4629.2</v>
          </cell>
          <cell r="AM62">
            <v>4</v>
          </cell>
          <cell r="AN62">
            <v>4</v>
          </cell>
          <cell r="AO62" t="str">
            <v>АО УЖХ Демского района</v>
          </cell>
          <cell r="AP62">
            <v>8150</v>
          </cell>
          <cell r="AQ62">
            <v>79.8</v>
          </cell>
          <cell r="AR62">
            <v>1121.5</v>
          </cell>
          <cell r="AS62">
            <v>349.2</v>
          </cell>
          <cell r="AT62">
            <v>145</v>
          </cell>
          <cell r="AU62">
            <v>9</v>
          </cell>
          <cell r="AV62">
            <v>401</v>
          </cell>
          <cell r="AW62">
            <v>0</v>
          </cell>
          <cell r="AX62" t="str">
            <v>отказ от услуги</v>
          </cell>
          <cell r="AY62">
            <v>0</v>
          </cell>
          <cell r="AZ62">
            <v>2301.1999999999998</v>
          </cell>
          <cell r="BA62">
            <v>4557.7</v>
          </cell>
          <cell r="BB62">
            <v>4557.69921875</v>
          </cell>
          <cell r="BC62" t="str">
            <v>Управляющая компания</v>
          </cell>
          <cell r="BD62" t="str">
            <v>1. Жилой дом</v>
          </cell>
          <cell r="BE62">
            <v>25.4</v>
          </cell>
          <cell r="BF62" t="str">
            <v>2.Чёрный</v>
          </cell>
          <cell r="BG62" t="str">
            <v>2.Чёрный</v>
          </cell>
          <cell r="BH62" t="str">
            <v>3.Водяной</v>
          </cell>
          <cell r="BI62" t="str">
            <v>МУП УИС</v>
          </cell>
          <cell r="BJ62" t="str">
            <v>1. Чугун</v>
          </cell>
          <cell r="BK62">
            <v>4</v>
          </cell>
          <cell r="BL62" t="str">
            <v>8.Сборные ж/б</v>
          </cell>
          <cell r="BM62">
            <v>33604</v>
          </cell>
          <cell r="BN62">
            <v>33604</v>
          </cell>
          <cell r="BO62" t="str">
            <v>Оборудован</v>
          </cell>
          <cell r="BP62" t="str">
            <v>4.Мягк/рулонная</v>
          </cell>
          <cell r="BQ62" t="str">
            <v>2.Плоская</v>
          </cell>
          <cell r="BR62">
            <v>1439</v>
          </cell>
          <cell r="BS62">
            <v>1128</v>
          </cell>
          <cell r="BT62">
            <v>1128</v>
          </cell>
          <cell r="BU62">
            <v>1284</v>
          </cell>
          <cell r="BV62">
            <v>1284</v>
          </cell>
          <cell r="BW62" t="str">
            <v>3.Частный жилищный фонд</v>
          </cell>
          <cell r="BX62">
            <v>145</v>
          </cell>
          <cell r="BY62">
            <v>0</v>
          </cell>
          <cell r="BZ62" t="str">
            <v>2-я</v>
          </cell>
          <cell r="CA62">
            <v>1</v>
          </cell>
          <cell r="CB62">
            <v>27.01</v>
          </cell>
          <cell r="CC62">
            <v>27.009994506835938</v>
          </cell>
          <cell r="CD62">
            <v>8229.7999999999993</v>
          </cell>
          <cell r="CE62">
            <v>8229.796875</v>
          </cell>
          <cell r="CF62" t="str">
            <v>ООО "Сфера"</v>
          </cell>
          <cell r="CG62">
            <v>144</v>
          </cell>
          <cell r="CH62">
            <v>1</v>
          </cell>
          <cell r="CI62">
            <v>1</v>
          </cell>
          <cell r="CJ62">
            <v>1</v>
          </cell>
          <cell r="CK62">
            <v>0</v>
          </cell>
          <cell r="CL62">
            <v>1</v>
          </cell>
          <cell r="CM62">
            <v>145</v>
          </cell>
          <cell r="CN62">
            <v>1470.7</v>
          </cell>
          <cell r="CO62">
            <v>1470.7</v>
          </cell>
          <cell r="CP62">
            <v>3882.7</v>
          </cell>
          <cell r="CQ62">
            <v>3882.69921875</v>
          </cell>
          <cell r="CR62">
            <v>3882.69921875</v>
          </cell>
          <cell r="CS62">
            <v>1</v>
          </cell>
          <cell r="CT62">
            <v>145</v>
          </cell>
          <cell r="CU62">
            <v>0</v>
          </cell>
          <cell r="CV62">
            <v>120</v>
          </cell>
          <cell r="CW62">
            <v>123</v>
          </cell>
          <cell r="CX62">
            <v>1</v>
          </cell>
          <cell r="CY62">
            <v>1</v>
          </cell>
          <cell r="CZ62">
            <v>33428</v>
          </cell>
          <cell r="DA62" t="str">
            <v>Демский</v>
          </cell>
          <cell r="DB62" t="str">
            <v>3.Сборные ж/б панели</v>
          </cell>
          <cell r="DC62">
            <v>33428</v>
          </cell>
          <cell r="DD62">
            <v>33428</v>
          </cell>
          <cell r="DE62">
            <v>33428</v>
          </cell>
          <cell r="DF62">
            <v>33428</v>
          </cell>
          <cell r="DG62">
            <v>33428</v>
          </cell>
          <cell r="DH62">
            <v>33428</v>
          </cell>
          <cell r="DI62">
            <v>33428</v>
          </cell>
          <cell r="DJ62" t="str">
            <v>АО УЖХ Демского района</v>
          </cell>
          <cell r="DK62">
            <v>33428</v>
          </cell>
          <cell r="DL62">
            <v>33428</v>
          </cell>
          <cell r="DM62">
            <v>17441015</v>
          </cell>
          <cell r="DN62">
            <v>4</v>
          </cell>
          <cell r="DO62" t="str">
            <v>ГВС</v>
          </cell>
          <cell r="DP62" t="str">
            <v>УЖХ</v>
          </cell>
          <cell r="DQ62">
            <v>41416</v>
          </cell>
          <cell r="DR62">
            <v>0</v>
          </cell>
          <cell r="DS62">
            <v>145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 t="str">
            <v>4. Независимая схема</v>
          </cell>
          <cell r="EE62" t="str">
            <v>Нижний</v>
          </cell>
          <cell r="EF62">
            <v>0</v>
          </cell>
          <cell r="EG62">
            <v>0</v>
          </cell>
          <cell r="EH62">
            <v>4341.7</v>
          </cell>
          <cell r="EI62">
            <v>4341.69921875</v>
          </cell>
          <cell r="EJ62">
            <v>18</v>
          </cell>
          <cell r="EK62">
            <v>1462</v>
          </cell>
          <cell r="EL62">
            <v>0</v>
          </cell>
          <cell r="EM62">
            <v>821.2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216</v>
          </cell>
          <cell r="EV62">
            <v>1</v>
          </cell>
          <cell r="EW62">
            <v>1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18.91</v>
          </cell>
          <cell r="FG62">
            <v>2</v>
          </cell>
          <cell r="FH62">
            <v>2</v>
          </cell>
          <cell r="FI62">
            <v>43497</v>
          </cell>
          <cell r="FJ62">
            <v>15477</v>
          </cell>
          <cell r="FK62">
            <v>15477</v>
          </cell>
          <cell r="FL62">
            <v>11044.5</v>
          </cell>
          <cell r="FM62">
            <v>78.92</v>
          </cell>
          <cell r="FN62">
            <v>3916.4500000000003</v>
          </cell>
          <cell r="FO62">
            <v>11749.35</v>
          </cell>
        </row>
        <row r="63">
          <cell r="AI63" t="str">
            <v>Ул. Центральная дом 12/а</v>
          </cell>
          <cell r="AJ63">
            <v>11749.34375</v>
          </cell>
          <cell r="AK63">
            <v>527.79999999999995</v>
          </cell>
          <cell r="AL63">
            <v>336.7</v>
          </cell>
          <cell r="AM63">
            <v>1</v>
          </cell>
          <cell r="AN63">
            <v>1</v>
          </cell>
          <cell r="AO63" t="str">
            <v>АО УЖХ Демского района</v>
          </cell>
          <cell r="AP63">
            <v>496.35</v>
          </cell>
          <cell r="AQ63">
            <v>31.45</v>
          </cell>
          <cell r="AR63">
            <v>44.9</v>
          </cell>
          <cell r="AS63">
            <v>3.7</v>
          </cell>
          <cell r="AT63">
            <v>8</v>
          </cell>
          <cell r="AU63">
            <v>2</v>
          </cell>
          <cell r="AV63">
            <v>23</v>
          </cell>
          <cell r="AW63">
            <v>0</v>
          </cell>
          <cell r="AX63">
            <v>0</v>
          </cell>
          <cell r="AY63">
            <v>0</v>
          </cell>
          <cell r="AZ63">
            <v>317.2</v>
          </cell>
          <cell r="BA63">
            <v>639.29999999999995</v>
          </cell>
          <cell r="BB63">
            <v>639.2998046875</v>
          </cell>
          <cell r="BC63" t="str">
            <v>Непосредственное</v>
          </cell>
          <cell r="BD63" t="str">
            <v>1. Жилой дом</v>
          </cell>
          <cell r="BE63">
            <v>67.75</v>
          </cell>
          <cell r="BF63" t="str">
            <v>2.Чёрный</v>
          </cell>
          <cell r="BG63">
            <v>67.75</v>
          </cell>
          <cell r="BH63" t="str">
            <v>3.Водяной</v>
          </cell>
          <cell r="BI63" t="str">
            <v>МУП УИС</v>
          </cell>
          <cell r="BJ63" t="str">
            <v>1. Чугун</v>
          </cell>
          <cell r="BK63">
            <v>67.75</v>
          </cell>
          <cell r="BL63" t="str">
            <v>4.Шлакоблок</v>
          </cell>
          <cell r="BM63">
            <v>20455</v>
          </cell>
          <cell r="BN63">
            <v>8</v>
          </cell>
          <cell r="BO63" t="str">
            <v>Оборудован</v>
          </cell>
          <cell r="BP63" t="str">
            <v>1.Абсоцемент(шифер)</v>
          </cell>
          <cell r="BQ63" t="str">
            <v>1.Скатная</v>
          </cell>
          <cell r="BR63">
            <v>364</v>
          </cell>
          <cell r="BS63">
            <v>255.7</v>
          </cell>
          <cell r="BT63">
            <v>255.699951171875</v>
          </cell>
          <cell r="BU63">
            <v>255.699951171875</v>
          </cell>
          <cell r="BV63">
            <v>0</v>
          </cell>
          <cell r="BW63" t="str">
            <v>3.Частный жилищный фонд</v>
          </cell>
          <cell r="BX63">
            <v>8</v>
          </cell>
          <cell r="BY63">
            <v>0</v>
          </cell>
          <cell r="BZ63" t="str">
            <v>3-я</v>
          </cell>
          <cell r="CA63">
            <v>1</v>
          </cell>
          <cell r="CB63">
            <v>27.01</v>
          </cell>
          <cell r="CC63">
            <v>1</v>
          </cell>
          <cell r="CD63">
            <v>1</v>
          </cell>
          <cell r="CE63">
            <v>1</v>
          </cell>
          <cell r="CF63" t="str">
            <v>ООО "Гранд"</v>
          </cell>
          <cell r="CG63">
            <v>7</v>
          </cell>
          <cell r="CH63">
            <v>1</v>
          </cell>
          <cell r="CI63">
            <v>1</v>
          </cell>
          <cell r="CJ63">
            <v>1</v>
          </cell>
          <cell r="CK63">
            <v>0</v>
          </cell>
          <cell r="CL63">
            <v>0</v>
          </cell>
          <cell r="CM63">
            <v>12</v>
          </cell>
          <cell r="CN63">
            <v>48.6</v>
          </cell>
          <cell r="CO63">
            <v>0</v>
          </cell>
          <cell r="CP63">
            <v>304.3</v>
          </cell>
          <cell r="CQ63">
            <v>304.2998046875</v>
          </cell>
          <cell r="CR63">
            <v>304.2998046875</v>
          </cell>
          <cell r="CS63">
            <v>0</v>
          </cell>
          <cell r="CT63">
            <v>8</v>
          </cell>
          <cell r="CU63">
            <v>0</v>
          </cell>
          <cell r="CV63">
            <v>0</v>
          </cell>
          <cell r="CW63">
            <v>0</v>
          </cell>
          <cell r="CX63">
            <v>1</v>
          </cell>
          <cell r="CY63">
            <v>1</v>
          </cell>
          <cell r="CZ63">
            <v>2533</v>
          </cell>
          <cell r="DA63" t="str">
            <v>Демский</v>
          </cell>
          <cell r="DB63" t="str">
            <v>2.Деревянные</v>
          </cell>
          <cell r="DC63">
            <v>2533</v>
          </cell>
          <cell r="DD63">
            <v>2533</v>
          </cell>
          <cell r="DE63">
            <v>2533</v>
          </cell>
          <cell r="DF63">
            <v>2533</v>
          </cell>
          <cell r="DG63">
            <v>2533</v>
          </cell>
          <cell r="DH63">
            <v>2533</v>
          </cell>
          <cell r="DI63">
            <v>2533</v>
          </cell>
          <cell r="DJ63">
            <v>2533</v>
          </cell>
          <cell r="DK63">
            <v>0</v>
          </cell>
          <cell r="DL63">
            <v>0</v>
          </cell>
          <cell r="DM63">
            <v>1316579</v>
          </cell>
          <cell r="DN63">
            <v>0</v>
          </cell>
          <cell r="DO63">
            <v>0</v>
          </cell>
          <cell r="DP63" t="str">
            <v>УЖХ</v>
          </cell>
          <cell r="DQ63">
            <v>35612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 t="str">
            <v>3.Зависимая схема</v>
          </cell>
          <cell r="EE63" t="str">
            <v>Верхний</v>
          </cell>
          <cell r="EF63">
            <v>0</v>
          </cell>
          <cell r="EG63">
            <v>0</v>
          </cell>
          <cell r="EH63">
            <v>0</v>
          </cell>
          <cell r="EI63">
            <v>639.29999999999995</v>
          </cell>
          <cell r="EJ63">
            <v>130.5</v>
          </cell>
          <cell r="EK63">
            <v>136.1</v>
          </cell>
          <cell r="EL63">
            <v>136.0999755859375</v>
          </cell>
          <cell r="EM63">
            <v>50.6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17.399999999999999</v>
          </cell>
          <cell r="FG63">
            <v>17.399993896484375</v>
          </cell>
          <cell r="FH63" t="str">
            <v>С УЛК (ЖЭУ)</v>
          </cell>
          <cell r="FI63">
            <v>43647</v>
          </cell>
          <cell r="FJ63">
            <v>15477</v>
          </cell>
          <cell r="FK63">
            <v>15477</v>
          </cell>
          <cell r="FL63">
            <v>832.1</v>
          </cell>
          <cell r="FM63">
            <v>78.92</v>
          </cell>
          <cell r="FN63">
            <v>847.44</v>
          </cell>
          <cell r="FO63">
            <v>2542.3200000000002</v>
          </cell>
        </row>
        <row r="64">
          <cell r="AI64" t="str">
            <v>Ул. Центральная дом 14</v>
          </cell>
          <cell r="AJ64">
            <v>2542.318359375</v>
          </cell>
          <cell r="AK64">
            <v>1308.4000000000001</v>
          </cell>
          <cell r="AL64">
            <v>870.8</v>
          </cell>
          <cell r="AM64">
            <v>3</v>
          </cell>
          <cell r="AN64">
            <v>3</v>
          </cell>
          <cell r="AO64" t="str">
            <v>АО УЖХ Демского района</v>
          </cell>
          <cell r="AP64">
            <v>1209.52</v>
          </cell>
          <cell r="AQ64">
            <v>98.88</v>
          </cell>
          <cell r="AR64">
            <v>122.6</v>
          </cell>
          <cell r="AS64">
            <v>10</v>
          </cell>
          <cell r="AT64">
            <v>17</v>
          </cell>
          <cell r="AU64">
            <v>2</v>
          </cell>
          <cell r="AV64">
            <v>61</v>
          </cell>
          <cell r="AW64">
            <v>0</v>
          </cell>
          <cell r="AX64">
            <v>0</v>
          </cell>
          <cell r="AY64">
            <v>94.3</v>
          </cell>
          <cell r="AZ64">
            <v>784.3</v>
          </cell>
          <cell r="BA64">
            <v>1625.1</v>
          </cell>
          <cell r="BB64">
            <v>1625.099609375</v>
          </cell>
          <cell r="BC64" t="str">
            <v>Непосредственное</v>
          </cell>
          <cell r="BD64" t="str">
            <v>1. Жилой дом</v>
          </cell>
          <cell r="BE64">
            <v>67.75</v>
          </cell>
          <cell r="BF64" t="str">
            <v>2.Чёрный</v>
          </cell>
          <cell r="BG64">
            <v>67.75</v>
          </cell>
          <cell r="BH64" t="str">
            <v>3.Водяной</v>
          </cell>
          <cell r="BI64" t="str">
            <v>МУП УИС</v>
          </cell>
          <cell r="BJ64" t="str">
            <v>1. Чугун</v>
          </cell>
          <cell r="BK64">
            <v>67.75</v>
          </cell>
          <cell r="BL64" t="str">
            <v>4.Шлакоблок</v>
          </cell>
          <cell r="BM64">
            <v>20455</v>
          </cell>
          <cell r="BN64">
            <v>17</v>
          </cell>
          <cell r="BO64" t="str">
            <v>Оборудован</v>
          </cell>
          <cell r="BP64" t="str">
            <v>8.Профнастил</v>
          </cell>
          <cell r="BQ64" t="str">
            <v>1.Скатная</v>
          </cell>
          <cell r="BR64">
            <v>1094.5999999999999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 t="str">
            <v>3.Частный жилищный фонд</v>
          </cell>
          <cell r="BX64">
            <v>17</v>
          </cell>
          <cell r="BY64">
            <v>0</v>
          </cell>
          <cell r="BZ64" t="str">
            <v>3-я</v>
          </cell>
          <cell r="CA64">
            <v>1</v>
          </cell>
          <cell r="CB64">
            <v>27.01</v>
          </cell>
          <cell r="CC64">
            <v>1</v>
          </cell>
          <cell r="CD64">
            <v>1</v>
          </cell>
          <cell r="CE64">
            <v>1</v>
          </cell>
          <cell r="CF64" t="str">
            <v>ООО "Гранд"</v>
          </cell>
          <cell r="CG64">
            <v>15</v>
          </cell>
          <cell r="CH64">
            <v>2</v>
          </cell>
          <cell r="CI64">
            <v>2</v>
          </cell>
          <cell r="CJ64">
            <v>2</v>
          </cell>
          <cell r="CK64">
            <v>0</v>
          </cell>
          <cell r="CL64">
            <v>0</v>
          </cell>
          <cell r="CM64">
            <v>33</v>
          </cell>
          <cell r="CN64">
            <v>132.6</v>
          </cell>
          <cell r="CO64">
            <v>0</v>
          </cell>
          <cell r="CP64">
            <v>132.6</v>
          </cell>
          <cell r="CQ64">
            <v>132.5999755859375</v>
          </cell>
          <cell r="CR64">
            <v>132.5999755859375</v>
          </cell>
          <cell r="CS64">
            <v>0</v>
          </cell>
          <cell r="CT64">
            <v>17</v>
          </cell>
          <cell r="CU64">
            <v>0</v>
          </cell>
          <cell r="CV64">
            <v>0</v>
          </cell>
          <cell r="CW64">
            <v>0</v>
          </cell>
          <cell r="CX64">
            <v>1</v>
          </cell>
          <cell r="CY64">
            <v>1</v>
          </cell>
          <cell r="CZ64">
            <v>6488</v>
          </cell>
          <cell r="DA64" t="str">
            <v>Демский</v>
          </cell>
          <cell r="DB64" t="str">
            <v>2.Деревянные</v>
          </cell>
          <cell r="DC64">
            <v>6488</v>
          </cell>
          <cell r="DD64">
            <v>6488</v>
          </cell>
          <cell r="DE64">
            <v>6488</v>
          </cell>
          <cell r="DF64">
            <v>6488</v>
          </cell>
          <cell r="DG64">
            <v>6488</v>
          </cell>
          <cell r="DH64">
            <v>6488</v>
          </cell>
          <cell r="DI64">
            <v>6488</v>
          </cell>
          <cell r="DJ64">
            <v>6488</v>
          </cell>
          <cell r="DK64">
            <v>0</v>
          </cell>
          <cell r="DL64">
            <v>0</v>
          </cell>
          <cell r="DM64">
            <v>3260644</v>
          </cell>
          <cell r="DN64">
            <v>0</v>
          </cell>
          <cell r="DO64">
            <v>0</v>
          </cell>
          <cell r="DP64" t="str">
            <v>УЖХ</v>
          </cell>
          <cell r="DQ64">
            <v>35566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 t="str">
            <v>3.Зависимая схема</v>
          </cell>
          <cell r="EE64" t="str">
            <v>Верхний</v>
          </cell>
          <cell r="EF64">
            <v>0</v>
          </cell>
          <cell r="EG64">
            <v>0</v>
          </cell>
          <cell r="EH64">
            <v>0</v>
          </cell>
          <cell r="EI64">
            <v>1625.1</v>
          </cell>
          <cell r="EJ64">
            <v>389</v>
          </cell>
          <cell r="EK64">
            <v>359.9</v>
          </cell>
          <cell r="EL64">
            <v>359.89990234375</v>
          </cell>
          <cell r="EM64">
            <v>35.4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16.7</v>
          </cell>
          <cell r="FG64">
            <v>16.699996948242188</v>
          </cell>
          <cell r="FH64" t="str">
            <v>С УЛК (ЖЭУ)</v>
          </cell>
          <cell r="FI64">
            <v>43647</v>
          </cell>
          <cell r="FJ64">
            <v>15477</v>
          </cell>
          <cell r="FK64">
            <v>15477</v>
          </cell>
          <cell r="FL64">
            <v>1535.3</v>
          </cell>
          <cell r="FM64">
            <v>78.92</v>
          </cell>
          <cell r="FN64">
            <v>1800.8100000000002</v>
          </cell>
          <cell r="FO64">
            <v>5402.43</v>
          </cell>
        </row>
        <row r="65">
          <cell r="AI65" t="str">
            <v>Ул. Центральная дом 14/а</v>
          </cell>
          <cell r="AJ65">
            <v>5402.4296875</v>
          </cell>
          <cell r="AK65">
            <v>638</v>
          </cell>
          <cell r="AL65">
            <v>419.8</v>
          </cell>
          <cell r="AM65">
            <v>2</v>
          </cell>
          <cell r="AN65">
            <v>2</v>
          </cell>
          <cell r="AO65" t="str">
            <v>АО УЖХ Демского района</v>
          </cell>
          <cell r="AP65">
            <v>638.5</v>
          </cell>
          <cell r="AQ65">
            <v>0</v>
          </cell>
          <cell r="AR65">
            <v>40.200000000000003</v>
          </cell>
          <cell r="AS65">
            <v>4.0999999999999996</v>
          </cell>
          <cell r="AT65">
            <v>16</v>
          </cell>
          <cell r="AU65">
            <v>2</v>
          </cell>
          <cell r="AV65">
            <v>46</v>
          </cell>
          <cell r="AW65">
            <v>0</v>
          </cell>
          <cell r="AX65">
            <v>0</v>
          </cell>
          <cell r="AY65">
            <v>0</v>
          </cell>
          <cell r="AZ65">
            <v>449.4</v>
          </cell>
          <cell r="BA65">
            <v>831.9</v>
          </cell>
          <cell r="BB65">
            <v>831.89990234375</v>
          </cell>
          <cell r="BC65" t="str">
            <v>Непосредственное</v>
          </cell>
          <cell r="BD65" t="str">
            <v>1. Жилой дом</v>
          </cell>
          <cell r="BE65">
            <v>49.4</v>
          </cell>
          <cell r="BF65" t="str">
            <v>2.Чёрный</v>
          </cell>
          <cell r="BG65">
            <v>49.399993896484375</v>
          </cell>
          <cell r="BH65" t="str">
            <v>3.Водяной</v>
          </cell>
          <cell r="BI65" t="str">
            <v>МУП УИС</v>
          </cell>
          <cell r="BJ65" t="str">
            <v>1. Чугун</v>
          </cell>
          <cell r="BK65">
            <v>49.399993896484375</v>
          </cell>
          <cell r="BL65" t="str">
            <v>2.Кирпич</v>
          </cell>
          <cell r="BM65">
            <v>22647</v>
          </cell>
          <cell r="BN65">
            <v>16</v>
          </cell>
          <cell r="BO65" t="str">
            <v>Оборудован</v>
          </cell>
          <cell r="BP65" t="str">
            <v>8.Профнастил</v>
          </cell>
          <cell r="BQ65" t="str">
            <v>1.Скатная</v>
          </cell>
          <cell r="BR65">
            <v>571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 t="str">
            <v>3.Частный жилищный фонд</v>
          </cell>
          <cell r="BX65">
            <v>16</v>
          </cell>
          <cell r="BY65">
            <v>0</v>
          </cell>
          <cell r="BZ65" t="str">
            <v>2-я</v>
          </cell>
          <cell r="CA65">
            <v>1</v>
          </cell>
          <cell r="CB65">
            <v>27.01</v>
          </cell>
          <cell r="CC65">
            <v>1</v>
          </cell>
          <cell r="CD65">
            <v>1</v>
          </cell>
          <cell r="CE65">
            <v>1</v>
          </cell>
          <cell r="CF65" t="str">
            <v>ООО "Гранд"</v>
          </cell>
          <cell r="CG65">
            <v>16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16</v>
          </cell>
          <cell r="CN65">
            <v>44.3</v>
          </cell>
          <cell r="CO65">
            <v>0</v>
          </cell>
          <cell r="CP65">
            <v>44.3</v>
          </cell>
          <cell r="CQ65">
            <v>44.29998779296875</v>
          </cell>
          <cell r="CR65">
            <v>44.29998779296875</v>
          </cell>
          <cell r="CS65">
            <v>0</v>
          </cell>
          <cell r="CT65">
            <v>16</v>
          </cell>
          <cell r="CU65">
            <v>0</v>
          </cell>
          <cell r="CV65">
            <v>0</v>
          </cell>
          <cell r="CW65">
            <v>0</v>
          </cell>
          <cell r="CX65">
            <v>1</v>
          </cell>
          <cell r="CY65">
            <v>1</v>
          </cell>
          <cell r="CZ65">
            <v>2536</v>
          </cell>
          <cell r="DA65" t="str">
            <v>Демский</v>
          </cell>
          <cell r="DB65" t="str">
            <v>2.Деревянные</v>
          </cell>
          <cell r="DC65">
            <v>2536</v>
          </cell>
          <cell r="DD65">
            <v>2536</v>
          </cell>
          <cell r="DE65">
            <v>2536</v>
          </cell>
          <cell r="DF65">
            <v>2536</v>
          </cell>
          <cell r="DG65">
            <v>2536</v>
          </cell>
          <cell r="DH65">
            <v>2536</v>
          </cell>
          <cell r="DI65">
            <v>2536</v>
          </cell>
          <cell r="DJ65">
            <v>2536</v>
          </cell>
          <cell r="DK65">
            <v>0</v>
          </cell>
          <cell r="DL65">
            <v>0</v>
          </cell>
          <cell r="DM65">
            <v>935512</v>
          </cell>
          <cell r="DN65">
            <v>0</v>
          </cell>
          <cell r="DO65">
            <v>0</v>
          </cell>
          <cell r="DP65" t="str">
            <v>УЖХ</v>
          </cell>
          <cell r="DQ65">
            <v>35521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 t="str">
            <v>3.Зависимая схема</v>
          </cell>
          <cell r="EE65" t="str">
            <v>Верхний</v>
          </cell>
          <cell r="EF65">
            <v>0</v>
          </cell>
          <cell r="EG65">
            <v>0</v>
          </cell>
          <cell r="EH65">
            <v>180</v>
          </cell>
          <cell r="EI65">
            <v>651.9</v>
          </cell>
          <cell r="EJ65">
            <v>73.400000000000006</v>
          </cell>
          <cell r="EK65">
            <v>281.2</v>
          </cell>
          <cell r="EL65">
            <v>281.199951171875</v>
          </cell>
          <cell r="EM65">
            <v>94.8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22.66</v>
          </cell>
          <cell r="FG65">
            <v>22.659988403320313</v>
          </cell>
          <cell r="FH65" t="str">
            <v>С УЛК (ЖЭУ)</v>
          </cell>
          <cell r="FI65">
            <v>43647</v>
          </cell>
          <cell r="FJ65">
            <v>15477</v>
          </cell>
          <cell r="FK65">
            <v>15477</v>
          </cell>
          <cell r="FL65">
            <v>682.3</v>
          </cell>
          <cell r="FM65">
            <v>78.92</v>
          </cell>
          <cell r="FN65">
            <v>1694.88</v>
          </cell>
          <cell r="FO65">
            <v>5084.6400000000003</v>
          </cell>
        </row>
        <row r="66">
          <cell r="AI66" t="str">
            <v>Ул. Магистральная дом 7</v>
          </cell>
          <cell r="AJ66">
            <v>5084.63671875</v>
          </cell>
          <cell r="AK66">
            <v>454.6</v>
          </cell>
          <cell r="AL66">
            <v>297.2</v>
          </cell>
          <cell r="AM66">
            <v>2</v>
          </cell>
          <cell r="AN66">
            <v>2</v>
          </cell>
          <cell r="AO66" t="str">
            <v>АО УЖХ Демского района</v>
          </cell>
          <cell r="AP66">
            <v>383</v>
          </cell>
          <cell r="AQ66">
            <v>72.8</v>
          </cell>
          <cell r="AR66">
            <v>31.8</v>
          </cell>
          <cell r="AS66">
            <v>5.5</v>
          </cell>
          <cell r="AT66">
            <v>12</v>
          </cell>
          <cell r="AU66">
            <v>2</v>
          </cell>
          <cell r="AV66">
            <v>47</v>
          </cell>
          <cell r="AW66">
            <v>0</v>
          </cell>
          <cell r="AX66">
            <v>0</v>
          </cell>
          <cell r="AY66">
            <v>0</v>
          </cell>
          <cell r="AZ66">
            <v>336.3</v>
          </cell>
          <cell r="BA66">
            <v>516</v>
          </cell>
          <cell r="BB66">
            <v>516</v>
          </cell>
          <cell r="BC66" t="str">
            <v>Непосредственное</v>
          </cell>
          <cell r="BD66" t="str">
            <v>1. Жилой дом</v>
          </cell>
          <cell r="BE66">
            <v>63.75</v>
          </cell>
          <cell r="BF66" t="str">
            <v>2.Чёрный</v>
          </cell>
          <cell r="BG66">
            <v>63.75</v>
          </cell>
          <cell r="BH66" t="str">
            <v>1.АОГВ</v>
          </cell>
          <cell r="BI66">
            <v>63.75</v>
          </cell>
          <cell r="BJ66" t="str">
            <v>1. Чугун</v>
          </cell>
          <cell r="BK66">
            <v>63.75</v>
          </cell>
          <cell r="BL66" t="str">
            <v>2.Кирпич</v>
          </cell>
          <cell r="BM66">
            <v>21916</v>
          </cell>
          <cell r="BN66">
            <v>21916</v>
          </cell>
          <cell r="BO66" t="str">
            <v>Не оборудован</v>
          </cell>
          <cell r="BP66" t="str">
            <v>8.Профнастил</v>
          </cell>
          <cell r="BQ66" t="str">
            <v>1.Скатная</v>
          </cell>
          <cell r="BR66">
            <v>433.9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 t="str">
            <v>3.Частный жилищный фонд</v>
          </cell>
          <cell r="BX66">
            <v>12</v>
          </cell>
          <cell r="BY66">
            <v>0</v>
          </cell>
          <cell r="BZ66" t="str">
            <v>3-я</v>
          </cell>
          <cell r="CA66">
            <v>1</v>
          </cell>
          <cell r="CB66">
            <v>27.01</v>
          </cell>
          <cell r="CC66">
            <v>1</v>
          </cell>
          <cell r="CD66">
            <v>1</v>
          </cell>
          <cell r="CE66">
            <v>1</v>
          </cell>
          <cell r="CF66" t="str">
            <v>ООО "Дёма Комфорт"</v>
          </cell>
          <cell r="CG66">
            <v>10</v>
          </cell>
          <cell r="CH66">
            <v>2</v>
          </cell>
          <cell r="CI66">
            <v>2</v>
          </cell>
          <cell r="CJ66">
            <v>2</v>
          </cell>
          <cell r="CK66">
            <v>0</v>
          </cell>
          <cell r="CL66">
            <v>0</v>
          </cell>
          <cell r="CM66">
            <v>13</v>
          </cell>
          <cell r="CN66">
            <v>37.299999999999997</v>
          </cell>
          <cell r="CO66">
            <v>0</v>
          </cell>
          <cell r="CP66">
            <v>37.299999999999997</v>
          </cell>
          <cell r="CQ66">
            <v>37.29998779296875</v>
          </cell>
          <cell r="CR66">
            <v>37.29998779296875</v>
          </cell>
          <cell r="CS66">
            <v>0</v>
          </cell>
          <cell r="CT66">
            <v>12</v>
          </cell>
          <cell r="CU66">
            <v>0</v>
          </cell>
          <cell r="CV66">
            <v>0</v>
          </cell>
          <cell r="CW66">
            <v>0</v>
          </cell>
          <cell r="CX66">
            <v>1</v>
          </cell>
          <cell r="CY66">
            <v>1</v>
          </cell>
          <cell r="CZ66">
            <v>1869</v>
          </cell>
          <cell r="DA66" t="str">
            <v>Демский</v>
          </cell>
          <cell r="DB66" t="str">
            <v>2.Деревянные</v>
          </cell>
          <cell r="DC66">
            <v>1869</v>
          </cell>
          <cell r="DD66">
            <v>1869</v>
          </cell>
          <cell r="DE66">
            <v>1869</v>
          </cell>
          <cell r="DF66">
            <v>1869</v>
          </cell>
          <cell r="DG66">
            <v>1869</v>
          </cell>
          <cell r="DH66">
            <v>1869</v>
          </cell>
          <cell r="DI66">
            <v>1869</v>
          </cell>
          <cell r="DJ66">
            <v>1869</v>
          </cell>
          <cell r="DK66">
            <v>0</v>
          </cell>
          <cell r="DL66">
            <v>0</v>
          </cell>
          <cell r="DM66">
            <v>715624</v>
          </cell>
          <cell r="DN66">
            <v>0</v>
          </cell>
          <cell r="DO66">
            <v>0</v>
          </cell>
          <cell r="DP66" t="str">
            <v>УЖХ</v>
          </cell>
          <cell r="DQ66">
            <v>35522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516</v>
          </cell>
          <cell r="EJ66">
            <v>67.2</v>
          </cell>
          <cell r="EK66">
            <v>212.5</v>
          </cell>
          <cell r="EL66">
            <v>15</v>
          </cell>
          <cell r="EM66">
            <v>41.6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17.54</v>
          </cell>
          <cell r="FG66">
            <v>17.539993286132813</v>
          </cell>
          <cell r="FH66" t="str">
            <v>С УЛК (ЖЭУ)</v>
          </cell>
          <cell r="FI66">
            <v>43647</v>
          </cell>
          <cell r="FJ66">
            <v>43647</v>
          </cell>
          <cell r="FK66">
            <v>43647</v>
          </cell>
          <cell r="FL66">
            <v>491.9</v>
          </cell>
          <cell r="FM66">
            <v>78.92</v>
          </cell>
          <cell r="FN66">
            <v>1271.1599999999999</v>
          </cell>
          <cell r="FO66">
            <v>3813.4799999999996</v>
          </cell>
        </row>
        <row r="67">
          <cell r="AI67" t="str">
            <v>Ул. Магистральная дом 7/а</v>
          </cell>
          <cell r="AJ67">
            <v>3813.478515625</v>
          </cell>
          <cell r="AK67">
            <v>131.1</v>
          </cell>
          <cell r="AL67">
            <v>96.3</v>
          </cell>
          <cell r="AM67">
            <v>0</v>
          </cell>
          <cell r="AN67">
            <v>0</v>
          </cell>
          <cell r="AO67" t="str">
            <v>АО УЖХ Демского района</v>
          </cell>
          <cell r="AP67">
            <v>123.9</v>
          </cell>
          <cell r="AQ67">
            <v>0</v>
          </cell>
          <cell r="AR67">
            <v>0</v>
          </cell>
          <cell r="AS67">
            <v>0</v>
          </cell>
          <cell r="AT67">
            <v>4</v>
          </cell>
          <cell r="AU67">
            <v>1</v>
          </cell>
          <cell r="AV67">
            <v>4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 t="str">
            <v>Непосредственное</v>
          </cell>
          <cell r="BD67" t="str">
            <v>1. Жилой дом</v>
          </cell>
          <cell r="BE67">
            <v>65.75</v>
          </cell>
          <cell r="BF67" t="str">
            <v>4.Колонка уличная</v>
          </cell>
          <cell r="BG67">
            <v>65.75</v>
          </cell>
          <cell r="BH67" t="str">
            <v>3.Водяной</v>
          </cell>
          <cell r="BI67" t="str">
            <v>МУП УИС</v>
          </cell>
          <cell r="BJ67">
            <v>65.75</v>
          </cell>
          <cell r="BK67">
            <v>65.75</v>
          </cell>
          <cell r="BL67" t="str">
            <v>4.Шлакоблок</v>
          </cell>
          <cell r="BM67">
            <v>21186</v>
          </cell>
          <cell r="BN67">
            <v>21186</v>
          </cell>
          <cell r="BO67" t="str">
            <v>Не оборудован</v>
          </cell>
          <cell r="BP67" t="str">
            <v>1.Абсоцемент(шифер)</v>
          </cell>
          <cell r="BQ67" t="str">
            <v>1.Скатная</v>
          </cell>
          <cell r="BR67">
            <v>220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 t="str">
            <v>3.Частный жилищный фонд</v>
          </cell>
          <cell r="BX67">
            <v>4</v>
          </cell>
          <cell r="BY67">
            <v>0</v>
          </cell>
          <cell r="BZ67" t="str">
            <v>3-я</v>
          </cell>
          <cell r="CA67">
            <v>1</v>
          </cell>
          <cell r="CB67">
            <v>27.01</v>
          </cell>
          <cell r="CC67">
            <v>27.009994506835938</v>
          </cell>
          <cell r="CD67">
            <v>27.009994506835938</v>
          </cell>
          <cell r="CE67">
            <v>27.009994506835938</v>
          </cell>
          <cell r="CF67" t="str">
            <v>ООО "Дёма Комфорт"</v>
          </cell>
          <cell r="CG67">
            <v>4</v>
          </cell>
          <cell r="CH67">
            <v>0</v>
          </cell>
          <cell r="CI67" t="str">
            <v>Дом блокированной застройки</v>
          </cell>
          <cell r="CJ67">
            <v>0</v>
          </cell>
          <cell r="CK67">
            <v>0</v>
          </cell>
          <cell r="CL67">
            <v>0</v>
          </cell>
          <cell r="CM67">
            <v>4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4</v>
          </cell>
          <cell r="CU67">
            <v>0</v>
          </cell>
          <cell r="CV67">
            <v>0</v>
          </cell>
          <cell r="CW67">
            <v>0</v>
          </cell>
          <cell r="CX67">
            <v>1</v>
          </cell>
          <cell r="CY67">
            <v>1</v>
          </cell>
          <cell r="CZ67">
            <v>497</v>
          </cell>
          <cell r="DA67" t="str">
            <v>Демский</v>
          </cell>
          <cell r="DB67" t="str">
            <v>2.Деревянные</v>
          </cell>
          <cell r="DC67">
            <v>497</v>
          </cell>
          <cell r="DD67">
            <v>497</v>
          </cell>
          <cell r="DE67">
            <v>497</v>
          </cell>
          <cell r="DF67">
            <v>497</v>
          </cell>
          <cell r="DG67">
            <v>497</v>
          </cell>
          <cell r="DH67">
            <v>497</v>
          </cell>
          <cell r="DI67">
            <v>497</v>
          </cell>
          <cell r="DJ67">
            <v>497</v>
          </cell>
          <cell r="DK67">
            <v>0</v>
          </cell>
          <cell r="DL67">
            <v>0</v>
          </cell>
          <cell r="DM67">
            <v>176295</v>
          </cell>
          <cell r="DN67">
            <v>0</v>
          </cell>
          <cell r="DO67" t="str">
            <v>Отсутствует</v>
          </cell>
          <cell r="DP67" t="str">
            <v>УЖХ</v>
          </cell>
          <cell r="DQ67">
            <v>36588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1</v>
          </cell>
          <cell r="EC67">
            <v>0</v>
          </cell>
          <cell r="ED67" t="str">
            <v>4. Независимая схема</v>
          </cell>
          <cell r="EE67" t="str">
            <v>Нижний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14.4</v>
          </cell>
          <cell r="FG67">
            <v>14.399993896484375</v>
          </cell>
          <cell r="FH67">
            <v>14.399993896484375</v>
          </cell>
          <cell r="FI67">
            <v>43647</v>
          </cell>
          <cell r="FJ67">
            <v>15477</v>
          </cell>
          <cell r="FK67">
            <v>15477</v>
          </cell>
          <cell r="FL67">
            <v>131.1</v>
          </cell>
          <cell r="FM67">
            <v>78.92</v>
          </cell>
          <cell r="FN67">
            <v>108.04</v>
          </cell>
          <cell r="FO67">
            <v>324.12</v>
          </cell>
        </row>
        <row r="68">
          <cell r="AI68" t="str">
            <v>Ул. Магистральная дом 9</v>
          </cell>
          <cell r="AJ68">
            <v>324.119873046875</v>
          </cell>
          <cell r="AK68">
            <v>418.9</v>
          </cell>
          <cell r="AL68">
            <v>260.39999999999998</v>
          </cell>
          <cell r="AM68">
            <v>1</v>
          </cell>
          <cell r="AN68">
            <v>1</v>
          </cell>
          <cell r="AO68" t="str">
            <v>АО УЖХ Демского района</v>
          </cell>
          <cell r="AP68">
            <v>304.32</v>
          </cell>
          <cell r="AQ68">
            <v>116.48</v>
          </cell>
          <cell r="AR68">
            <v>33.799999999999997</v>
          </cell>
          <cell r="AS68">
            <v>3.1</v>
          </cell>
          <cell r="AT68">
            <v>8</v>
          </cell>
          <cell r="AU68">
            <v>2</v>
          </cell>
          <cell r="AV68">
            <v>27</v>
          </cell>
          <cell r="AW68">
            <v>0</v>
          </cell>
          <cell r="AX68">
            <v>0</v>
          </cell>
          <cell r="AY68">
            <v>0</v>
          </cell>
          <cell r="AZ68">
            <v>477.5</v>
          </cell>
          <cell r="BA68">
            <v>266.5</v>
          </cell>
          <cell r="BB68">
            <v>266.5</v>
          </cell>
          <cell r="BC68" t="str">
            <v>Непосредственное</v>
          </cell>
          <cell r="BD68" t="str">
            <v>1. Жилой дом</v>
          </cell>
          <cell r="BE68">
            <v>65.75</v>
          </cell>
          <cell r="BF68" t="str">
            <v>2.Чёрный</v>
          </cell>
          <cell r="BG68" t="str">
            <v>2.Чёрный</v>
          </cell>
          <cell r="BH68" t="str">
            <v>2.Газовый</v>
          </cell>
          <cell r="BI68">
            <v>65.75</v>
          </cell>
          <cell r="BJ68" t="str">
            <v>1. Чугун</v>
          </cell>
          <cell r="BK68">
            <v>65.75</v>
          </cell>
          <cell r="BL68" t="str">
            <v>2.Кирпич</v>
          </cell>
          <cell r="BM68">
            <v>21186</v>
          </cell>
          <cell r="BN68">
            <v>21186</v>
          </cell>
          <cell r="BO68" t="str">
            <v>Не оборудован</v>
          </cell>
          <cell r="BP68" t="str">
            <v>1.Абсоцемент(шифер)</v>
          </cell>
          <cell r="BQ68" t="str">
            <v>1.Скатная</v>
          </cell>
          <cell r="BR68">
            <v>392.2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 t="str">
            <v>3.Частный жилищный фонд</v>
          </cell>
          <cell r="BX68">
            <v>8</v>
          </cell>
          <cell r="BY68">
            <v>0</v>
          </cell>
          <cell r="BZ68" t="str">
            <v>3-я</v>
          </cell>
          <cell r="CA68">
            <v>1</v>
          </cell>
          <cell r="CB68">
            <v>27.01</v>
          </cell>
          <cell r="CC68">
            <v>1</v>
          </cell>
          <cell r="CD68">
            <v>1</v>
          </cell>
          <cell r="CE68">
            <v>1</v>
          </cell>
          <cell r="CF68" t="str">
            <v>ООО "Дёма Комфорт"</v>
          </cell>
          <cell r="CG68">
            <v>5</v>
          </cell>
          <cell r="CH68">
            <v>3</v>
          </cell>
          <cell r="CI68">
            <v>3</v>
          </cell>
          <cell r="CJ68">
            <v>3</v>
          </cell>
          <cell r="CK68">
            <v>0</v>
          </cell>
          <cell r="CL68">
            <v>0</v>
          </cell>
          <cell r="CM68">
            <v>10</v>
          </cell>
          <cell r="CN68">
            <v>36.9</v>
          </cell>
          <cell r="CO68">
            <v>36.9</v>
          </cell>
          <cell r="CP68">
            <v>36.9</v>
          </cell>
          <cell r="CQ68">
            <v>36.899993896484375</v>
          </cell>
          <cell r="CR68">
            <v>36.899993896484375</v>
          </cell>
          <cell r="CS68">
            <v>0</v>
          </cell>
          <cell r="CT68">
            <v>8</v>
          </cell>
          <cell r="CU68">
            <v>0</v>
          </cell>
          <cell r="CV68">
            <v>0</v>
          </cell>
          <cell r="CW68">
            <v>0</v>
          </cell>
          <cell r="CX68">
            <v>1</v>
          </cell>
          <cell r="CY68">
            <v>1</v>
          </cell>
          <cell r="CZ68">
            <v>1991</v>
          </cell>
          <cell r="DA68" t="str">
            <v>Демский</v>
          </cell>
          <cell r="DB68" t="str">
            <v>2.Деревянные</v>
          </cell>
          <cell r="DC68">
            <v>1991</v>
          </cell>
          <cell r="DD68">
            <v>1991</v>
          </cell>
          <cell r="DE68">
            <v>1991</v>
          </cell>
          <cell r="DF68">
            <v>1991</v>
          </cell>
          <cell r="DG68">
            <v>1991</v>
          </cell>
          <cell r="DH68">
            <v>1991</v>
          </cell>
          <cell r="DI68">
            <v>1991</v>
          </cell>
          <cell r="DJ68">
            <v>1991</v>
          </cell>
          <cell r="DK68">
            <v>0</v>
          </cell>
          <cell r="DL68">
            <v>0</v>
          </cell>
          <cell r="DM68">
            <v>762336</v>
          </cell>
          <cell r="DN68">
            <v>0</v>
          </cell>
          <cell r="DO68">
            <v>0</v>
          </cell>
          <cell r="DP68" t="str">
            <v>УЖХ</v>
          </cell>
          <cell r="DQ68">
            <v>35522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266.5</v>
          </cell>
          <cell r="EJ68">
            <v>107.5</v>
          </cell>
          <cell r="EK68">
            <v>272</v>
          </cell>
          <cell r="EL68">
            <v>50</v>
          </cell>
          <cell r="EM68">
            <v>48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15</v>
          </cell>
          <cell r="FG68">
            <v>15</v>
          </cell>
          <cell r="FH68" t="str">
            <v>С УЛК (ЖЭУ)</v>
          </cell>
          <cell r="FI68">
            <v>43647</v>
          </cell>
          <cell r="FJ68">
            <v>43647</v>
          </cell>
          <cell r="FK68">
            <v>43647</v>
          </cell>
          <cell r="FL68">
            <v>455.8</v>
          </cell>
          <cell r="FM68">
            <v>78.92</v>
          </cell>
          <cell r="FN68">
            <v>847.44</v>
          </cell>
          <cell r="FO68">
            <v>2542.3200000000002</v>
          </cell>
        </row>
        <row r="69">
          <cell r="AI69" t="str">
            <v>Ул. Центральная дом 16</v>
          </cell>
          <cell r="AJ69">
            <v>2542.318359375</v>
          </cell>
          <cell r="AK69">
            <v>1413.9</v>
          </cell>
          <cell r="AL69">
            <v>915.4</v>
          </cell>
          <cell r="AM69">
            <v>3</v>
          </cell>
          <cell r="AN69">
            <v>3</v>
          </cell>
          <cell r="AO69" t="str">
            <v>АО УЖХ Демского района</v>
          </cell>
          <cell r="AP69">
            <v>1260.18</v>
          </cell>
          <cell r="AQ69">
            <v>153.72</v>
          </cell>
          <cell r="AR69">
            <v>112</v>
          </cell>
          <cell r="AS69">
            <v>10.9</v>
          </cell>
          <cell r="AT69">
            <v>18</v>
          </cell>
          <cell r="AU69">
            <v>2</v>
          </cell>
          <cell r="AV69">
            <v>67</v>
          </cell>
          <cell r="AW69">
            <v>0</v>
          </cell>
          <cell r="AX69">
            <v>0</v>
          </cell>
          <cell r="AY69">
            <v>0</v>
          </cell>
          <cell r="AZ69">
            <v>665.9</v>
          </cell>
          <cell r="BA69">
            <v>1709.4</v>
          </cell>
          <cell r="BB69">
            <v>1709.3994140625</v>
          </cell>
          <cell r="BC69" t="str">
            <v>Непосредственное</v>
          </cell>
          <cell r="BD69" t="str">
            <v>1. Жилой дом</v>
          </cell>
          <cell r="BE69">
            <v>69.75</v>
          </cell>
          <cell r="BF69" t="str">
            <v>1.Оцинкованный</v>
          </cell>
          <cell r="BG69">
            <v>69.75</v>
          </cell>
          <cell r="BH69" t="str">
            <v>3.Водяной</v>
          </cell>
          <cell r="BI69" t="str">
            <v>МУП УИС</v>
          </cell>
          <cell r="BJ69" t="str">
            <v>1. Чугун</v>
          </cell>
          <cell r="BK69">
            <v>69.75</v>
          </cell>
          <cell r="BL69" t="str">
            <v>4.Шлакоблок</v>
          </cell>
          <cell r="BM69">
            <v>19725</v>
          </cell>
          <cell r="BN69">
            <v>18</v>
          </cell>
          <cell r="BO69" t="str">
            <v>Оборудован</v>
          </cell>
          <cell r="BP69" t="str">
            <v>1.Абсоцемент(шифер)</v>
          </cell>
          <cell r="BQ69" t="str">
            <v>1.Скатная</v>
          </cell>
          <cell r="BR69">
            <v>1118</v>
          </cell>
          <cell r="BS69">
            <v>1010.6</v>
          </cell>
          <cell r="BT69">
            <v>1010.599609375</v>
          </cell>
          <cell r="BU69">
            <v>1010.599609375</v>
          </cell>
          <cell r="BV69">
            <v>0</v>
          </cell>
          <cell r="BW69" t="str">
            <v>3.Частный жилищный фонд</v>
          </cell>
          <cell r="BX69">
            <v>18</v>
          </cell>
          <cell r="BY69">
            <v>0</v>
          </cell>
          <cell r="BZ69" t="str">
            <v>3-я</v>
          </cell>
          <cell r="CA69">
            <v>1</v>
          </cell>
          <cell r="CB69">
            <v>27.01</v>
          </cell>
          <cell r="CC69">
            <v>1</v>
          </cell>
          <cell r="CD69">
            <v>1</v>
          </cell>
          <cell r="CE69">
            <v>1</v>
          </cell>
          <cell r="CF69" t="str">
            <v>ООО "Гранд"</v>
          </cell>
          <cell r="CG69">
            <v>14</v>
          </cell>
          <cell r="CH69">
            <v>4</v>
          </cell>
          <cell r="CI69">
            <v>4</v>
          </cell>
          <cell r="CJ69">
            <v>4</v>
          </cell>
          <cell r="CK69">
            <v>0</v>
          </cell>
          <cell r="CL69">
            <v>0</v>
          </cell>
          <cell r="CM69">
            <v>34</v>
          </cell>
          <cell r="CN69">
            <v>122.9</v>
          </cell>
          <cell r="CO69">
            <v>0</v>
          </cell>
          <cell r="CP69">
            <v>1133.5</v>
          </cell>
          <cell r="CQ69">
            <v>1133.5</v>
          </cell>
          <cell r="CR69">
            <v>1133.5</v>
          </cell>
          <cell r="CS69">
            <v>0</v>
          </cell>
          <cell r="CT69">
            <v>18</v>
          </cell>
          <cell r="CU69">
            <v>0</v>
          </cell>
          <cell r="CV69">
            <v>0</v>
          </cell>
          <cell r="CW69">
            <v>0</v>
          </cell>
          <cell r="CX69">
            <v>1</v>
          </cell>
          <cell r="CY69">
            <v>1</v>
          </cell>
          <cell r="CZ69">
            <v>9423</v>
          </cell>
          <cell r="DA69" t="str">
            <v>Демский</v>
          </cell>
          <cell r="DB69" t="str">
            <v>2.Деревянные</v>
          </cell>
          <cell r="DC69">
            <v>9423</v>
          </cell>
          <cell r="DD69">
            <v>9423</v>
          </cell>
          <cell r="DE69">
            <v>9423</v>
          </cell>
          <cell r="DF69">
            <v>9423</v>
          </cell>
          <cell r="DG69">
            <v>9423</v>
          </cell>
          <cell r="DH69">
            <v>9423</v>
          </cell>
          <cell r="DI69">
            <v>9423</v>
          </cell>
          <cell r="DJ69">
            <v>9423</v>
          </cell>
          <cell r="DK69">
            <v>0</v>
          </cell>
          <cell r="DL69">
            <v>0</v>
          </cell>
          <cell r="DM69">
            <v>3476078</v>
          </cell>
          <cell r="DN69">
            <v>0</v>
          </cell>
          <cell r="DO69">
            <v>0</v>
          </cell>
          <cell r="DP69" t="str">
            <v>УЖХ</v>
          </cell>
          <cell r="DQ69">
            <v>35517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 t="str">
            <v>3.Зависимая схема</v>
          </cell>
          <cell r="EE69" t="str">
            <v>Верхний</v>
          </cell>
          <cell r="EF69">
            <v>0</v>
          </cell>
          <cell r="EG69">
            <v>0</v>
          </cell>
          <cell r="EH69">
            <v>0</v>
          </cell>
          <cell r="EI69">
            <v>1709.4</v>
          </cell>
          <cell r="EJ69">
            <v>297.5</v>
          </cell>
          <cell r="EK69">
            <v>279.8</v>
          </cell>
          <cell r="EL69">
            <v>0</v>
          </cell>
          <cell r="EM69">
            <v>40.6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>
            <v>0</v>
          </cell>
          <cell r="FA69">
            <v>48</v>
          </cell>
          <cell r="FB69">
            <v>1</v>
          </cell>
          <cell r="FC69">
            <v>1</v>
          </cell>
          <cell r="FD69">
            <v>0</v>
          </cell>
          <cell r="FE69">
            <v>0</v>
          </cell>
          <cell r="FF69">
            <v>15.09</v>
          </cell>
          <cell r="FG69">
            <v>15.089996337890625</v>
          </cell>
          <cell r="FH69" t="str">
            <v>С УЛК (ЖЭУ)</v>
          </cell>
          <cell r="FI69">
            <v>43647</v>
          </cell>
          <cell r="FJ69">
            <v>15477</v>
          </cell>
          <cell r="FK69">
            <v>15477</v>
          </cell>
          <cell r="FL69">
            <v>2547.4</v>
          </cell>
          <cell r="FM69">
            <v>78.92</v>
          </cell>
          <cell r="FN69">
            <v>1906.74</v>
          </cell>
          <cell r="FO69">
            <v>5720.22</v>
          </cell>
        </row>
        <row r="70">
          <cell r="AI70" t="str">
            <v>Ул. Центральная дом 28</v>
          </cell>
          <cell r="AJ70">
            <v>5720.21875</v>
          </cell>
          <cell r="AK70">
            <v>714.3</v>
          </cell>
          <cell r="AL70">
            <v>441.8</v>
          </cell>
          <cell r="AM70">
            <v>3</v>
          </cell>
          <cell r="AN70">
            <v>3</v>
          </cell>
          <cell r="AO70" t="str">
            <v>АО УЖХ Демского района</v>
          </cell>
          <cell r="AP70">
            <v>713</v>
          </cell>
          <cell r="AQ70">
            <v>0</v>
          </cell>
          <cell r="AR70">
            <v>101.9</v>
          </cell>
          <cell r="AS70">
            <v>8.3000000000000007</v>
          </cell>
          <cell r="AT70">
            <v>13</v>
          </cell>
          <cell r="AU70">
            <v>2</v>
          </cell>
          <cell r="AV70">
            <v>30</v>
          </cell>
          <cell r="AW70">
            <v>0</v>
          </cell>
          <cell r="AX70">
            <v>0</v>
          </cell>
          <cell r="AY70">
            <v>161.6</v>
          </cell>
          <cell r="AZ70">
            <v>784.2</v>
          </cell>
          <cell r="BA70">
            <v>429.3</v>
          </cell>
          <cell r="BB70">
            <v>429.2998046875</v>
          </cell>
          <cell r="BC70" t="str">
            <v>Непосредственное</v>
          </cell>
          <cell r="BD70" t="str">
            <v>1. Жилой дом</v>
          </cell>
          <cell r="BE70">
            <v>53.4</v>
          </cell>
          <cell r="BF70" t="str">
            <v>2.Чёрный</v>
          </cell>
          <cell r="BG70">
            <v>53.399993896484375</v>
          </cell>
          <cell r="BH70" t="str">
            <v>3.Водяной</v>
          </cell>
          <cell r="BI70" t="str">
            <v>МУП УИС</v>
          </cell>
          <cell r="BJ70" t="str">
            <v>1. Чугун</v>
          </cell>
          <cell r="BK70">
            <v>53.399993896484375</v>
          </cell>
          <cell r="BL70" t="str">
            <v>2.Кирпич</v>
          </cell>
          <cell r="BM70">
            <v>20821</v>
          </cell>
          <cell r="BN70">
            <v>13</v>
          </cell>
          <cell r="BO70" t="str">
            <v>Не оборудован</v>
          </cell>
          <cell r="BP70" t="str">
            <v>1.Абсоцемент(шифер)</v>
          </cell>
          <cell r="BQ70" t="str">
            <v>1.Скатная</v>
          </cell>
          <cell r="BR70">
            <v>865</v>
          </cell>
          <cell r="BS70">
            <v>164</v>
          </cell>
          <cell r="BT70">
            <v>164</v>
          </cell>
          <cell r="BU70">
            <v>164</v>
          </cell>
          <cell r="BV70">
            <v>0</v>
          </cell>
          <cell r="BW70" t="str">
            <v>3.Частный жилищный фонд</v>
          </cell>
          <cell r="BX70">
            <v>13</v>
          </cell>
          <cell r="BY70">
            <v>0</v>
          </cell>
          <cell r="BZ70" t="str">
            <v>2-я</v>
          </cell>
          <cell r="CA70">
            <v>1</v>
          </cell>
          <cell r="CB70">
            <v>27.01</v>
          </cell>
          <cell r="CC70">
            <v>1</v>
          </cell>
          <cell r="CD70">
            <v>1</v>
          </cell>
          <cell r="CE70">
            <v>1</v>
          </cell>
          <cell r="CF70" t="str">
            <v>ООО "Гранд"</v>
          </cell>
          <cell r="CG70">
            <v>13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19</v>
          </cell>
          <cell r="CN70">
            <v>110.2</v>
          </cell>
          <cell r="CO70">
            <v>0</v>
          </cell>
          <cell r="CP70">
            <v>274.2</v>
          </cell>
          <cell r="CQ70">
            <v>274.199951171875</v>
          </cell>
          <cell r="CR70">
            <v>274.199951171875</v>
          </cell>
          <cell r="CS70">
            <v>0</v>
          </cell>
          <cell r="CT70">
            <v>13</v>
          </cell>
          <cell r="CU70">
            <v>0</v>
          </cell>
          <cell r="CV70">
            <v>0</v>
          </cell>
          <cell r="CW70">
            <v>0</v>
          </cell>
          <cell r="CX70">
            <v>1</v>
          </cell>
          <cell r="CY70">
            <v>1</v>
          </cell>
          <cell r="CZ70">
            <v>4522</v>
          </cell>
          <cell r="DA70" t="str">
            <v>Демский</v>
          </cell>
          <cell r="DB70" t="str">
            <v>2.Деревянные</v>
          </cell>
          <cell r="DC70">
            <v>4522</v>
          </cell>
          <cell r="DD70">
            <v>4522</v>
          </cell>
          <cell r="DE70">
            <v>4522</v>
          </cell>
          <cell r="DF70">
            <v>4522</v>
          </cell>
          <cell r="DG70">
            <v>4522</v>
          </cell>
          <cell r="DH70">
            <v>4522</v>
          </cell>
          <cell r="DI70">
            <v>4522</v>
          </cell>
          <cell r="DJ70">
            <v>4522</v>
          </cell>
          <cell r="DK70">
            <v>0</v>
          </cell>
          <cell r="DL70">
            <v>0</v>
          </cell>
          <cell r="DM70">
            <v>8408559</v>
          </cell>
          <cell r="DN70">
            <v>0</v>
          </cell>
          <cell r="DO70">
            <v>0</v>
          </cell>
          <cell r="DP70" t="str">
            <v>УЖХ</v>
          </cell>
          <cell r="DQ70">
            <v>40102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 t="str">
            <v>3.Зависимая схема</v>
          </cell>
          <cell r="EE70" t="str">
            <v>Верхний</v>
          </cell>
          <cell r="EF70">
            <v>0</v>
          </cell>
          <cell r="EG70">
            <v>0</v>
          </cell>
          <cell r="EH70">
            <v>50</v>
          </cell>
          <cell r="EI70">
            <v>379.3</v>
          </cell>
          <cell r="EJ70">
            <v>76.8</v>
          </cell>
          <cell r="EK70">
            <v>673</v>
          </cell>
          <cell r="EL70">
            <v>20</v>
          </cell>
          <cell r="EM70">
            <v>14.4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>
            <v>0</v>
          </cell>
          <cell r="FD70">
            <v>0</v>
          </cell>
          <cell r="FE70">
            <v>0</v>
          </cell>
          <cell r="FF70">
            <v>19.03</v>
          </cell>
          <cell r="FG70">
            <v>19.029998779296875</v>
          </cell>
          <cell r="FH70" t="str">
            <v>С УЛК (ЖЭУ)</v>
          </cell>
          <cell r="FI70">
            <v>43647</v>
          </cell>
          <cell r="FJ70">
            <v>15477</v>
          </cell>
          <cell r="FK70">
            <v>15477</v>
          </cell>
          <cell r="FL70">
            <v>1150.0999999999999</v>
          </cell>
          <cell r="FM70">
            <v>78.92</v>
          </cell>
          <cell r="FN70">
            <v>1377.0900000000001</v>
          </cell>
          <cell r="FO70">
            <v>4131.2700000000004</v>
          </cell>
        </row>
        <row r="71">
          <cell r="AI71" t="str">
            <v>Ул. Магистральная дом 9/а</v>
          </cell>
          <cell r="AJ71">
            <v>4131.26953125</v>
          </cell>
          <cell r="AK71">
            <v>236.9</v>
          </cell>
          <cell r="AL71">
            <v>129.19999999999999</v>
          </cell>
          <cell r="AM71">
            <v>0</v>
          </cell>
          <cell r="AN71">
            <v>0</v>
          </cell>
          <cell r="AO71" t="str">
            <v>АО УЖХ Демского района</v>
          </cell>
          <cell r="AP71">
            <v>236.9</v>
          </cell>
          <cell r="AQ71">
            <v>0</v>
          </cell>
          <cell r="AR71">
            <v>0</v>
          </cell>
          <cell r="AS71">
            <v>0</v>
          </cell>
          <cell r="AT71">
            <v>4</v>
          </cell>
          <cell r="AU71">
            <v>1</v>
          </cell>
          <cell r="AV71">
            <v>11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>Непосредственное</v>
          </cell>
          <cell r="BD71" t="str">
            <v>1. Жилой дом</v>
          </cell>
          <cell r="BE71">
            <v>64.75</v>
          </cell>
          <cell r="BF71" t="str">
            <v>2.Чёрный</v>
          </cell>
          <cell r="BG71" t="str">
            <v>2.Чёрный</v>
          </cell>
          <cell r="BH71" t="str">
            <v>3.Водяной</v>
          </cell>
          <cell r="BI71" t="str">
            <v>МУП УИС</v>
          </cell>
          <cell r="BJ71" t="str">
            <v>1. Чугун</v>
          </cell>
          <cell r="BK71">
            <v>64.75</v>
          </cell>
          <cell r="BL71" t="str">
            <v>4.Шлакоблок</v>
          </cell>
          <cell r="BM71">
            <v>21551</v>
          </cell>
          <cell r="BN71">
            <v>21551</v>
          </cell>
          <cell r="BO71" t="str">
            <v>Не оборудован</v>
          </cell>
          <cell r="BP71" t="str">
            <v>1.Абсоцемент(шифер)</v>
          </cell>
          <cell r="BQ71" t="str">
            <v>1.Скатная</v>
          </cell>
          <cell r="BR71">
            <v>220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 t="str">
            <v>3.Частный жилищный фонд</v>
          </cell>
          <cell r="BX71">
            <v>4</v>
          </cell>
          <cell r="BY71">
            <v>0</v>
          </cell>
          <cell r="BZ71" t="str">
            <v>3-я</v>
          </cell>
          <cell r="CA71">
            <v>1</v>
          </cell>
          <cell r="CB71">
            <v>27.01</v>
          </cell>
          <cell r="CC71">
            <v>27.009994506835938</v>
          </cell>
          <cell r="CD71">
            <v>27.009994506835938</v>
          </cell>
          <cell r="CE71">
            <v>27.009994506835938</v>
          </cell>
          <cell r="CF71" t="str">
            <v>ООО "Дёма Комфорт"</v>
          </cell>
          <cell r="CG71">
            <v>4</v>
          </cell>
          <cell r="CH71">
            <v>0</v>
          </cell>
          <cell r="CI71" t="str">
            <v>Дом блокированной застройки</v>
          </cell>
          <cell r="CJ71">
            <v>0</v>
          </cell>
          <cell r="CK71">
            <v>0</v>
          </cell>
          <cell r="CL71">
            <v>0</v>
          </cell>
          <cell r="CM71">
            <v>4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4</v>
          </cell>
          <cell r="CU71">
            <v>0</v>
          </cell>
          <cell r="CV71">
            <v>0</v>
          </cell>
          <cell r="CW71">
            <v>0</v>
          </cell>
          <cell r="CX71">
            <v>1</v>
          </cell>
          <cell r="CY71">
            <v>1</v>
          </cell>
          <cell r="CZ71">
            <v>430</v>
          </cell>
          <cell r="DA71" t="str">
            <v>Демский</v>
          </cell>
          <cell r="DB71" t="str">
            <v>2.Деревянные</v>
          </cell>
          <cell r="DC71">
            <v>430</v>
          </cell>
          <cell r="DD71">
            <v>430</v>
          </cell>
          <cell r="DE71">
            <v>430</v>
          </cell>
          <cell r="DF71">
            <v>430</v>
          </cell>
          <cell r="DG71">
            <v>430</v>
          </cell>
          <cell r="DH71">
            <v>430</v>
          </cell>
          <cell r="DI71">
            <v>430</v>
          </cell>
          <cell r="DJ71">
            <v>430</v>
          </cell>
          <cell r="DK71">
            <v>0</v>
          </cell>
          <cell r="DL71">
            <v>0</v>
          </cell>
          <cell r="DM71">
            <v>171585</v>
          </cell>
          <cell r="DN71">
            <v>0</v>
          </cell>
          <cell r="DO71">
            <v>0</v>
          </cell>
          <cell r="DP71" t="str">
            <v>УЖХ</v>
          </cell>
          <cell r="DQ71">
            <v>38525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1</v>
          </cell>
          <cell r="EC71">
            <v>0</v>
          </cell>
          <cell r="ED71" t="str">
            <v>4. Независимая схема</v>
          </cell>
          <cell r="EE71" t="str">
            <v>Нижний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  <cell r="FA71">
            <v>0</v>
          </cell>
          <cell r="FB71">
            <v>0</v>
          </cell>
          <cell r="FC71">
            <v>0</v>
          </cell>
          <cell r="FD71">
            <v>0</v>
          </cell>
          <cell r="FE71">
            <v>0</v>
          </cell>
          <cell r="FF71">
            <v>17.399999999999999</v>
          </cell>
          <cell r="FG71">
            <v>17.399993896484375</v>
          </cell>
          <cell r="FH71">
            <v>17.399993896484375</v>
          </cell>
          <cell r="FI71">
            <v>43647</v>
          </cell>
          <cell r="FJ71">
            <v>15477</v>
          </cell>
          <cell r="FK71">
            <v>15477</v>
          </cell>
          <cell r="FL71">
            <v>236.9</v>
          </cell>
          <cell r="FM71">
            <v>78.92</v>
          </cell>
          <cell r="FN71">
            <v>108.04</v>
          </cell>
          <cell r="FO71">
            <v>324.12</v>
          </cell>
        </row>
        <row r="72">
          <cell r="AI72" t="str">
            <v>Ул. Центральная дом 22</v>
          </cell>
          <cell r="AJ72">
            <v>324.119873046875</v>
          </cell>
          <cell r="AK72">
            <v>367.7</v>
          </cell>
          <cell r="AL72">
            <v>232.6</v>
          </cell>
          <cell r="AM72">
            <v>2</v>
          </cell>
          <cell r="AN72">
            <v>2</v>
          </cell>
          <cell r="AO72" t="str">
            <v>АО УЖХ Демского района</v>
          </cell>
          <cell r="AP72">
            <v>367.7</v>
          </cell>
          <cell r="AQ72">
            <v>0</v>
          </cell>
          <cell r="AR72">
            <v>91.4</v>
          </cell>
          <cell r="AS72">
            <v>0</v>
          </cell>
          <cell r="AT72">
            <v>4</v>
          </cell>
          <cell r="AU72">
            <v>2</v>
          </cell>
          <cell r="AV72">
            <v>22</v>
          </cell>
          <cell r="AW72">
            <v>0</v>
          </cell>
          <cell r="AX72">
            <v>0</v>
          </cell>
          <cell r="AY72">
            <v>584.5</v>
          </cell>
          <cell r="AZ72">
            <v>799.6</v>
          </cell>
          <cell r="BA72">
            <v>1290.5999999999999</v>
          </cell>
          <cell r="BB72">
            <v>1290.599609375</v>
          </cell>
          <cell r="BC72" t="str">
            <v>Непосредственное</v>
          </cell>
          <cell r="BD72" t="str">
            <v>1. Жилой дом</v>
          </cell>
          <cell r="BE72">
            <v>72.75</v>
          </cell>
          <cell r="BF72" t="str">
            <v>2.Чёрный</v>
          </cell>
          <cell r="BG72">
            <v>72.75</v>
          </cell>
          <cell r="BH72" t="str">
            <v>3.Водяной</v>
          </cell>
          <cell r="BI72" t="str">
            <v>МУП УИС</v>
          </cell>
          <cell r="BJ72" t="str">
            <v>1. Чугун</v>
          </cell>
          <cell r="BK72">
            <v>72.75</v>
          </cell>
          <cell r="BL72" t="str">
            <v>4.Шлакоблок</v>
          </cell>
          <cell r="BM72">
            <v>18629</v>
          </cell>
          <cell r="BN72">
            <v>4</v>
          </cell>
          <cell r="BO72" t="str">
            <v>Оборудован</v>
          </cell>
          <cell r="BP72" t="str">
            <v>1.Абсоцемент(шифер)</v>
          </cell>
          <cell r="BQ72" t="str">
            <v>1.Скатная</v>
          </cell>
          <cell r="BR72">
            <v>897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 t="str">
            <v>3.Частный жилищный фонд</v>
          </cell>
          <cell r="BX72">
            <v>4</v>
          </cell>
          <cell r="BY72">
            <v>0</v>
          </cell>
          <cell r="BZ72" t="str">
            <v>3-я</v>
          </cell>
          <cell r="CA72">
            <v>1</v>
          </cell>
          <cell r="CB72">
            <v>27.01</v>
          </cell>
          <cell r="CC72">
            <v>1</v>
          </cell>
          <cell r="CD72">
            <v>1</v>
          </cell>
          <cell r="CE72">
            <v>1</v>
          </cell>
          <cell r="CF72" t="str">
            <v>ООО "Гранд"</v>
          </cell>
          <cell r="CG72">
            <v>4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12</v>
          </cell>
          <cell r="CN72">
            <v>91.4</v>
          </cell>
          <cell r="CO72">
            <v>0</v>
          </cell>
          <cell r="CP72">
            <v>91.4</v>
          </cell>
          <cell r="CQ72">
            <v>91.39996337890625</v>
          </cell>
          <cell r="CR72">
            <v>91.39996337890625</v>
          </cell>
          <cell r="CS72">
            <v>0</v>
          </cell>
          <cell r="CT72">
            <v>4</v>
          </cell>
          <cell r="CU72">
            <v>0</v>
          </cell>
          <cell r="CV72">
            <v>0</v>
          </cell>
          <cell r="CW72">
            <v>0</v>
          </cell>
          <cell r="CX72">
            <v>1</v>
          </cell>
          <cell r="CY72">
            <v>0</v>
          </cell>
          <cell r="CZ72">
            <v>4399</v>
          </cell>
          <cell r="DA72" t="str">
            <v>Демский</v>
          </cell>
          <cell r="DB72" t="str">
            <v>2.Деревянные</v>
          </cell>
          <cell r="DC72">
            <v>4399</v>
          </cell>
          <cell r="DD72">
            <v>4399</v>
          </cell>
          <cell r="DE72">
            <v>4399</v>
          </cell>
          <cell r="DF72">
            <v>4399</v>
          </cell>
          <cell r="DG72">
            <v>4399</v>
          </cell>
          <cell r="DH72">
            <v>4399</v>
          </cell>
          <cell r="DI72">
            <v>4399</v>
          </cell>
          <cell r="DJ72">
            <v>4399</v>
          </cell>
          <cell r="DK72">
            <v>0</v>
          </cell>
          <cell r="DL72">
            <v>0</v>
          </cell>
          <cell r="DM72">
            <v>1663745</v>
          </cell>
          <cell r="DN72">
            <v>0</v>
          </cell>
          <cell r="DO72">
            <v>0</v>
          </cell>
          <cell r="DP72" t="str">
            <v>УЖХ</v>
          </cell>
          <cell r="DQ72">
            <v>35492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 t="str">
            <v>3.Зависимая схема</v>
          </cell>
          <cell r="EE72" t="str">
            <v>Верхний</v>
          </cell>
          <cell r="EF72">
            <v>0</v>
          </cell>
          <cell r="EG72">
            <v>0</v>
          </cell>
          <cell r="EH72">
            <v>0</v>
          </cell>
          <cell r="EI72">
            <v>1290.5999999999999</v>
          </cell>
          <cell r="EJ72">
            <v>195.1</v>
          </cell>
          <cell r="EK72">
            <v>549</v>
          </cell>
          <cell r="EL72">
            <v>549</v>
          </cell>
          <cell r="EM72">
            <v>45.5</v>
          </cell>
          <cell r="EN72">
            <v>1</v>
          </cell>
          <cell r="EO72">
            <v>1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10</v>
          </cell>
          <cell r="EX72">
            <v>1</v>
          </cell>
          <cell r="EY72">
            <v>1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21.99</v>
          </cell>
          <cell r="FG72">
            <v>21.989990234375</v>
          </cell>
          <cell r="FH72" t="str">
            <v>С УЛК (ЖЭУ)</v>
          </cell>
          <cell r="FI72">
            <v>43647</v>
          </cell>
          <cell r="FJ72">
            <v>15477</v>
          </cell>
          <cell r="FK72">
            <v>15477</v>
          </cell>
          <cell r="FL72">
            <v>1043.5999999999999</v>
          </cell>
          <cell r="FM72">
            <v>78.92</v>
          </cell>
          <cell r="FN72">
            <v>423.72</v>
          </cell>
          <cell r="FO72">
            <v>1271.1600000000001</v>
          </cell>
        </row>
        <row r="73">
          <cell r="AI73" t="str">
            <v>Ул. Центральная дом 22/а</v>
          </cell>
          <cell r="AJ73">
            <v>1271.1591796875</v>
          </cell>
          <cell r="AK73">
            <v>529.4</v>
          </cell>
          <cell r="AL73">
            <v>280.7</v>
          </cell>
          <cell r="AM73">
            <v>2</v>
          </cell>
          <cell r="AN73">
            <v>2</v>
          </cell>
          <cell r="AO73" t="str">
            <v>АО УЖХ Демского района</v>
          </cell>
          <cell r="AP73">
            <v>490.2</v>
          </cell>
          <cell r="AQ73">
            <v>36.299999999999997</v>
          </cell>
          <cell r="AR73">
            <v>62.4</v>
          </cell>
          <cell r="AS73">
            <v>0</v>
          </cell>
          <cell r="AT73">
            <v>12</v>
          </cell>
          <cell r="AU73">
            <v>2</v>
          </cell>
          <cell r="AV73">
            <v>24</v>
          </cell>
          <cell r="AW73">
            <v>0</v>
          </cell>
          <cell r="AX73">
            <v>0</v>
          </cell>
          <cell r="AY73">
            <v>0</v>
          </cell>
          <cell r="AZ73">
            <v>333.2</v>
          </cell>
          <cell r="BA73">
            <v>1581.3</v>
          </cell>
          <cell r="BB73">
            <v>1581.2998046875</v>
          </cell>
          <cell r="BC73" t="str">
            <v>Непосредственное</v>
          </cell>
          <cell r="BD73" t="str">
            <v>1. Жилой дом</v>
          </cell>
          <cell r="BE73">
            <v>87.75</v>
          </cell>
          <cell r="BF73" t="str">
            <v>2.Чёрный</v>
          </cell>
          <cell r="BG73">
            <v>87.75</v>
          </cell>
          <cell r="BH73" t="str">
            <v>3.Водяной</v>
          </cell>
          <cell r="BI73" t="str">
            <v>МУП УИС</v>
          </cell>
          <cell r="BJ73" t="str">
            <v>1. Чугун</v>
          </cell>
          <cell r="BK73">
            <v>87.75</v>
          </cell>
          <cell r="BL73" t="str">
            <v>4.Шлакоблок</v>
          </cell>
          <cell r="BM73">
            <v>13150</v>
          </cell>
          <cell r="BN73">
            <v>12</v>
          </cell>
          <cell r="BO73" t="str">
            <v>Оборудован</v>
          </cell>
          <cell r="BP73" t="str">
            <v>8.Профнастил</v>
          </cell>
          <cell r="BQ73" t="str">
            <v>1.Скатная</v>
          </cell>
          <cell r="BR73">
            <v>508.3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 t="str">
            <v>3.Частный жилищный фонд</v>
          </cell>
          <cell r="BX73">
            <v>12</v>
          </cell>
          <cell r="BY73">
            <v>0</v>
          </cell>
          <cell r="BZ73" t="str">
            <v>3-я</v>
          </cell>
          <cell r="CA73">
            <v>1</v>
          </cell>
          <cell r="CB73">
            <v>27.01</v>
          </cell>
          <cell r="CC73">
            <v>1</v>
          </cell>
          <cell r="CD73">
            <v>1</v>
          </cell>
          <cell r="CE73">
            <v>1</v>
          </cell>
          <cell r="CF73" t="str">
            <v>ООО "Гранд"</v>
          </cell>
          <cell r="CG73">
            <v>11</v>
          </cell>
          <cell r="CH73">
            <v>1</v>
          </cell>
          <cell r="CI73">
            <v>1</v>
          </cell>
          <cell r="CJ73">
            <v>1</v>
          </cell>
          <cell r="CK73">
            <v>0</v>
          </cell>
          <cell r="CL73">
            <v>0</v>
          </cell>
          <cell r="CM73">
            <v>12</v>
          </cell>
          <cell r="CN73">
            <v>62.4</v>
          </cell>
          <cell r="CO73">
            <v>0</v>
          </cell>
          <cell r="CP73">
            <v>62.4</v>
          </cell>
          <cell r="CQ73">
            <v>62.399993896484375</v>
          </cell>
          <cell r="CR73">
            <v>62.399993896484375</v>
          </cell>
          <cell r="CS73">
            <v>0</v>
          </cell>
          <cell r="CT73">
            <v>12</v>
          </cell>
          <cell r="CU73">
            <v>0</v>
          </cell>
          <cell r="CV73">
            <v>0</v>
          </cell>
          <cell r="CW73">
            <v>0</v>
          </cell>
          <cell r="CX73">
            <v>1</v>
          </cell>
          <cell r="CY73">
            <v>1</v>
          </cell>
          <cell r="CZ73">
            <v>2565</v>
          </cell>
          <cell r="DA73" t="str">
            <v>Демский</v>
          </cell>
          <cell r="DB73" t="str">
            <v>2.Деревянные</v>
          </cell>
          <cell r="DC73">
            <v>2565</v>
          </cell>
          <cell r="DD73">
            <v>2565</v>
          </cell>
          <cell r="DE73">
            <v>2565</v>
          </cell>
          <cell r="DF73">
            <v>2565</v>
          </cell>
          <cell r="DG73">
            <v>2565</v>
          </cell>
          <cell r="DH73">
            <v>2565</v>
          </cell>
          <cell r="DI73">
            <v>2565</v>
          </cell>
          <cell r="DJ73">
            <v>2565</v>
          </cell>
          <cell r="DK73">
            <v>0</v>
          </cell>
          <cell r="DL73">
            <v>0</v>
          </cell>
          <cell r="DM73">
            <v>925745</v>
          </cell>
          <cell r="DN73">
            <v>0</v>
          </cell>
          <cell r="DO73">
            <v>0</v>
          </cell>
          <cell r="DP73" t="str">
            <v>УЖХ</v>
          </cell>
          <cell r="DQ73">
            <v>35725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 t="str">
            <v>3.Зависимая схема</v>
          </cell>
          <cell r="EE73" t="str">
            <v>Верхний</v>
          </cell>
          <cell r="EF73">
            <v>0</v>
          </cell>
          <cell r="EG73">
            <v>0</v>
          </cell>
          <cell r="EH73">
            <v>50</v>
          </cell>
          <cell r="EI73">
            <v>1531.3</v>
          </cell>
          <cell r="EJ73">
            <v>21.6</v>
          </cell>
          <cell r="EK73">
            <v>226.8</v>
          </cell>
          <cell r="EL73">
            <v>16</v>
          </cell>
          <cell r="EM73">
            <v>68.8</v>
          </cell>
          <cell r="EN73">
            <v>0</v>
          </cell>
          <cell r="EO73">
            <v>0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0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19.34</v>
          </cell>
          <cell r="FG73">
            <v>19.339996337890625</v>
          </cell>
          <cell r="FH73" t="str">
            <v>С УЛК (ЖЭУ)</v>
          </cell>
          <cell r="FI73">
            <v>43647</v>
          </cell>
          <cell r="FJ73">
            <v>15477</v>
          </cell>
          <cell r="FK73">
            <v>15477</v>
          </cell>
          <cell r="FL73">
            <v>591.79999999999995</v>
          </cell>
          <cell r="FM73">
            <v>78.92</v>
          </cell>
          <cell r="FN73">
            <v>1271.1599999999999</v>
          </cell>
          <cell r="FO73">
            <v>3813.4799999999996</v>
          </cell>
        </row>
        <row r="74">
          <cell r="AI74" t="str">
            <v>Ул. Центральная дом 34</v>
          </cell>
          <cell r="AJ74">
            <v>3813.478515625</v>
          </cell>
          <cell r="AK74">
            <v>539.4</v>
          </cell>
          <cell r="AL74">
            <v>342.2</v>
          </cell>
          <cell r="AM74">
            <v>2</v>
          </cell>
          <cell r="AN74">
            <v>2</v>
          </cell>
          <cell r="AO74" t="str">
            <v>АО УЖХ Демского района</v>
          </cell>
          <cell r="AP74">
            <v>496.53</v>
          </cell>
          <cell r="AQ74">
            <v>38.67</v>
          </cell>
          <cell r="AR74">
            <v>70.400000000000006</v>
          </cell>
          <cell r="AS74">
            <v>0</v>
          </cell>
          <cell r="AT74">
            <v>8</v>
          </cell>
          <cell r="AU74">
            <v>2</v>
          </cell>
          <cell r="AV74">
            <v>22</v>
          </cell>
          <cell r="AW74">
            <v>0</v>
          </cell>
          <cell r="AX74">
            <v>0</v>
          </cell>
          <cell r="AY74">
            <v>0</v>
          </cell>
          <cell r="AZ74">
            <v>530.1</v>
          </cell>
          <cell r="BA74">
            <v>1546.8</v>
          </cell>
          <cell r="BB74">
            <v>1546.7998046875</v>
          </cell>
          <cell r="BC74" t="str">
            <v>Непосредственное</v>
          </cell>
          <cell r="BD74" t="str">
            <v>1. Жилой дом</v>
          </cell>
          <cell r="BE74">
            <v>68.599999999999994</v>
          </cell>
          <cell r="BF74" t="str">
            <v>3.Полипропилен</v>
          </cell>
          <cell r="BG74">
            <v>68.5999755859375</v>
          </cell>
          <cell r="BH74" t="str">
            <v>3.Водяной</v>
          </cell>
          <cell r="BI74" t="str">
            <v>МУП УИС</v>
          </cell>
          <cell r="BJ74" t="str">
            <v>2. ПВХ</v>
          </cell>
          <cell r="BK74">
            <v>68.5999755859375</v>
          </cell>
          <cell r="BL74" t="str">
            <v>2.Кирпич</v>
          </cell>
          <cell r="BM74">
            <v>13881</v>
          </cell>
          <cell r="BN74">
            <v>13881</v>
          </cell>
          <cell r="BO74" t="str">
            <v>Не оборудован</v>
          </cell>
          <cell r="BP74" t="str">
            <v>1.Абсоцемент(шифер)</v>
          </cell>
          <cell r="BQ74" t="str">
            <v>1.Скатная</v>
          </cell>
          <cell r="BR74">
            <v>556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 t="str">
            <v>3.Частный жилищный фонд</v>
          </cell>
          <cell r="BX74">
            <v>8</v>
          </cell>
          <cell r="BY74">
            <v>0</v>
          </cell>
          <cell r="BZ74" t="str">
            <v>2-я</v>
          </cell>
          <cell r="CA74">
            <v>1</v>
          </cell>
          <cell r="CB74">
            <v>27.01</v>
          </cell>
          <cell r="CC74">
            <v>27.009994506835938</v>
          </cell>
          <cell r="CD74">
            <v>27.009994506835938</v>
          </cell>
          <cell r="CE74">
            <v>27.009994506835938</v>
          </cell>
          <cell r="CF74" t="str">
            <v>ООО "Гранд"</v>
          </cell>
          <cell r="CG74">
            <v>7</v>
          </cell>
          <cell r="CH74">
            <v>1</v>
          </cell>
          <cell r="CI74">
            <v>1</v>
          </cell>
          <cell r="CJ74">
            <v>1</v>
          </cell>
          <cell r="CK74">
            <v>0</v>
          </cell>
          <cell r="CL74">
            <v>0</v>
          </cell>
          <cell r="CM74">
            <v>10</v>
          </cell>
          <cell r="CN74">
            <v>70.400000000000006</v>
          </cell>
          <cell r="CO74">
            <v>0</v>
          </cell>
          <cell r="CP74">
            <v>70.400000000000006</v>
          </cell>
          <cell r="CQ74">
            <v>70.39996337890625</v>
          </cell>
          <cell r="CR74">
            <v>70.39996337890625</v>
          </cell>
          <cell r="CS74">
            <v>0</v>
          </cell>
          <cell r="CT74">
            <v>8</v>
          </cell>
          <cell r="CU74">
            <v>0</v>
          </cell>
          <cell r="CV74">
            <v>0</v>
          </cell>
          <cell r="CW74">
            <v>0</v>
          </cell>
          <cell r="CX74">
            <v>1</v>
          </cell>
          <cell r="CY74">
            <v>1</v>
          </cell>
          <cell r="CZ74">
            <v>2916</v>
          </cell>
          <cell r="DA74" t="str">
            <v>Демский</v>
          </cell>
          <cell r="DB74" t="str">
            <v>2.Деревянные</v>
          </cell>
          <cell r="DC74">
            <v>2916</v>
          </cell>
          <cell r="DD74">
            <v>2916</v>
          </cell>
          <cell r="DE74">
            <v>2916</v>
          </cell>
          <cell r="DF74">
            <v>2916</v>
          </cell>
          <cell r="DG74">
            <v>2916</v>
          </cell>
          <cell r="DH74">
            <v>2916</v>
          </cell>
          <cell r="DI74">
            <v>2916</v>
          </cell>
          <cell r="DJ74">
            <v>2916</v>
          </cell>
          <cell r="DK74">
            <v>0</v>
          </cell>
          <cell r="DL74">
            <v>0</v>
          </cell>
          <cell r="DM74">
            <v>1075692</v>
          </cell>
          <cell r="DN74">
            <v>0</v>
          </cell>
          <cell r="DO74">
            <v>0</v>
          </cell>
          <cell r="DP74" t="str">
            <v>УЖХ</v>
          </cell>
          <cell r="DQ74">
            <v>35492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 t="str">
            <v>3.Зависимая схема</v>
          </cell>
          <cell r="EE74" t="str">
            <v>Верхний</v>
          </cell>
          <cell r="EF74">
            <v>0</v>
          </cell>
          <cell r="EG74">
            <v>0</v>
          </cell>
          <cell r="EH74">
            <v>0</v>
          </cell>
          <cell r="EI74">
            <v>1546.8</v>
          </cell>
          <cell r="EJ74">
            <v>128.80000000000001</v>
          </cell>
          <cell r="EK74">
            <v>269.89999999999998</v>
          </cell>
          <cell r="EL74">
            <v>80</v>
          </cell>
          <cell r="EM74">
            <v>51.4</v>
          </cell>
          <cell r="EN74">
            <v>0</v>
          </cell>
          <cell r="EO74">
            <v>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T74">
            <v>0</v>
          </cell>
          <cell r="EU74">
            <v>0</v>
          </cell>
          <cell r="EV74">
            <v>0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16.37</v>
          </cell>
          <cell r="FG74">
            <v>16.3699951171875</v>
          </cell>
          <cell r="FH74" t="str">
            <v>расчет</v>
          </cell>
          <cell r="FI74">
            <v>43466</v>
          </cell>
          <cell r="FJ74">
            <v>15477</v>
          </cell>
          <cell r="FK74">
            <v>15477</v>
          </cell>
          <cell r="FL74">
            <v>609.79999999999995</v>
          </cell>
          <cell r="FM74">
            <v>78.92</v>
          </cell>
          <cell r="FN74">
            <v>216.08</v>
          </cell>
          <cell r="FO74">
            <v>648.24</v>
          </cell>
        </row>
        <row r="75">
          <cell r="AI75" t="str">
            <v>Ул. Магистральная дом 12/1</v>
          </cell>
          <cell r="AJ75">
            <v>648.23974609375</v>
          </cell>
          <cell r="AK75">
            <v>442.2</v>
          </cell>
          <cell r="AL75">
            <v>311.89999999999998</v>
          </cell>
          <cell r="AM75">
            <v>2</v>
          </cell>
          <cell r="AN75">
            <v>2</v>
          </cell>
          <cell r="AO75" t="str">
            <v>АО УЖХ Демского района</v>
          </cell>
          <cell r="AP75">
            <v>298.58</v>
          </cell>
          <cell r="AQ75">
            <v>143.62</v>
          </cell>
          <cell r="AR75">
            <v>47.5</v>
          </cell>
          <cell r="AS75">
            <v>0</v>
          </cell>
          <cell r="AT75">
            <v>8</v>
          </cell>
          <cell r="AU75">
            <v>2</v>
          </cell>
          <cell r="AV75">
            <v>34</v>
          </cell>
          <cell r="AW75">
            <v>0</v>
          </cell>
          <cell r="AX75">
            <v>0</v>
          </cell>
          <cell r="AY75">
            <v>0</v>
          </cell>
          <cell r="AZ75">
            <v>579.36</v>
          </cell>
          <cell r="BA75">
            <v>2447.41</v>
          </cell>
          <cell r="BB75">
            <v>2447.408203125</v>
          </cell>
          <cell r="BC75" t="str">
            <v>Непосредственное</v>
          </cell>
          <cell r="BD75" t="str">
            <v>1. Жилой дом</v>
          </cell>
          <cell r="BE75">
            <v>51.8</v>
          </cell>
          <cell r="BF75" t="str">
            <v>2.Чёрный</v>
          </cell>
          <cell r="BG75">
            <v>51.79998779296875</v>
          </cell>
          <cell r="BH75" t="str">
            <v>1.АОГВ</v>
          </cell>
          <cell r="BI75">
            <v>51.79998779296875</v>
          </cell>
          <cell r="BJ75" t="str">
            <v>1. Чугун</v>
          </cell>
          <cell r="BK75">
            <v>51.79998779296875</v>
          </cell>
          <cell r="BL75" t="str">
            <v>2.Кирпич</v>
          </cell>
          <cell r="BM75">
            <v>21551</v>
          </cell>
          <cell r="BN75">
            <v>21551</v>
          </cell>
          <cell r="BO75" t="str">
            <v>Не оборудован</v>
          </cell>
          <cell r="BP75" t="str">
            <v>1.Абсоцемент(шифер)</v>
          </cell>
          <cell r="BQ75" t="str">
            <v>1.Скатная</v>
          </cell>
          <cell r="BR75">
            <v>414.6</v>
          </cell>
          <cell r="BS75">
            <v>0</v>
          </cell>
          <cell r="BT75">
            <v>0</v>
          </cell>
          <cell r="BU75">
            <v>204</v>
          </cell>
          <cell r="BV75">
            <v>204</v>
          </cell>
          <cell r="BW75" t="str">
            <v>3.Частный жилищный фонд</v>
          </cell>
          <cell r="BX75">
            <v>8</v>
          </cell>
          <cell r="BY75">
            <v>0</v>
          </cell>
          <cell r="BZ75" t="str">
            <v>2-я</v>
          </cell>
          <cell r="CA75">
            <v>1</v>
          </cell>
          <cell r="CB75">
            <v>27.01</v>
          </cell>
          <cell r="CC75">
            <v>1</v>
          </cell>
          <cell r="CD75">
            <v>1</v>
          </cell>
          <cell r="CE75">
            <v>1</v>
          </cell>
          <cell r="CF75" t="str">
            <v>ООО "Дёма Комфорт"</v>
          </cell>
          <cell r="CG75">
            <v>5</v>
          </cell>
          <cell r="CH75">
            <v>3</v>
          </cell>
          <cell r="CI75">
            <v>3</v>
          </cell>
          <cell r="CJ75">
            <v>3</v>
          </cell>
          <cell r="CK75">
            <v>0</v>
          </cell>
          <cell r="CL75">
            <v>0</v>
          </cell>
          <cell r="CM75">
            <v>11</v>
          </cell>
          <cell r="CN75">
            <v>47.5</v>
          </cell>
          <cell r="CO75">
            <v>0</v>
          </cell>
          <cell r="CP75">
            <v>251.5</v>
          </cell>
          <cell r="CQ75">
            <v>251.5</v>
          </cell>
          <cell r="CR75">
            <v>251.5</v>
          </cell>
          <cell r="CS75">
            <v>0</v>
          </cell>
          <cell r="CT75">
            <v>8</v>
          </cell>
          <cell r="CU75">
            <v>0</v>
          </cell>
          <cell r="CV75">
            <v>0</v>
          </cell>
          <cell r="CW75">
            <v>0</v>
          </cell>
          <cell r="CX75">
            <v>1</v>
          </cell>
          <cell r="CY75">
            <v>1</v>
          </cell>
          <cell r="CZ75">
            <v>2035</v>
          </cell>
          <cell r="DA75" t="str">
            <v>Демский</v>
          </cell>
          <cell r="DB75" t="str">
            <v>1.Плита монолит/бетон</v>
          </cell>
          <cell r="DC75">
            <v>2035</v>
          </cell>
          <cell r="DD75">
            <v>2035</v>
          </cell>
          <cell r="DE75">
            <v>2035</v>
          </cell>
          <cell r="DF75">
            <v>2035</v>
          </cell>
          <cell r="DG75">
            <v>2035</v>
          </cell>
          <cell r="DH75">
            <v>2035</v>
          </cell>
          <cell r="DI75">
            <v>2035</v>
          </cell>
          <cell r="DJ75">
            <v>2035</v>
          </cell>
          <cell r="DK75">
            <v>0</v>
          </cell>
          <cell r="DL75">
            <v>0</v>
          </cell>
          <cell r="DM75">
            <v>731828</v>
          </cell>
          <cell r="DN75">
            <v>0</v>
          </cell>
          <cell r="DO75">
            <v>0</v>
          </cell>
          <cell r="DP75" t="str">
            <v>УЖХ</v>
          </cell>
          <cell r="DQ75">
            <v>39199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2447.41</v>
          </cell>
          <cell r="EJ75">
            <v>170.32</v>
          </cell>
          <cell r="EK75">
            <v>329.04</v>
          </cell>
          <cell r="EL75">
            <v>329.039794921875</v>
          </cell>
          <cell r="EM75">
            <v>80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13.9</v>
          </cell>
          <cell r="FG75">
            <v>13.899993896484375</v>
          </cell>
          <cell r="FH75" t="str">
            <v>С УЛК (ЖЭУ)</v>
          </cell>
          <cell r="FI75">
            <v>43466</v>
          </cell>
          <cell r="FJ75">
            <v>43466</v>
          </cell>
          <cell r="FK75">
            <v>43466</v>
          </cell>
          <cell r="FL75">
            <v>489.7</v>
          </cell>
          <cell r="FM75">
            <v>78.92</v>
          </cell>
          <cell r="FN75">
            <v>847.44</v>
          </cell>
          <cell r="FO75">
            <v>2542.3200000000002</v>
          </cell>
        </row>
        <row r="76">
          <cell r="AI76" t="str">
            <v>Ул. Магистральная дом 17</v>
          </cell>
          <cell r="AJ76">
            <v>2542.318359375</v>
          </cell>
          <cell r="AK76">
            <v>168.7</v>
          </cell>
          <cell r="AL76">
            <v>102.9</v>
          </cell>
          <cell r="AM76">
            <v>0</v>
          </cell>
          <cell r="AN76">
            <v>0</v>
          </cell>
          <cell r="AO76" t="str">
            <v>АО УЖХ Демского района</v>
          </cell>
          <cell r="AP76">
            <v>43.2</v>
          </cell>
          <cell r="AQ76">
            <v>128.6</v>
          </cell>
          <cell r="AR76">
            <v>0</v>
          </cell>
          <cell r="AS76">
            <v>0</v>
          </cell>
          <cell r="AT76">
            <v>4</v>
          </cell>
          <cell r="AU76">
            <v>1</v>
          </cell>
          <cell r="AV76">
            <v>13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62.87</v>
          </cell>
          <cell r="BB76">
            <v>62.8699951171875</v>
          </cell>
          <cell r="BC76" t="str">
            <v>Непосредственное</v>
          </cell>
          <cell r="BD76" t="str">
            <v>1. Жилой дом</v>
          </cell>
          <cell r="BE76">
            <v>62.75</v>
          </cell>
          <cell r="BF76" t="str">
            <v>4.Колонка уличная</v>
          </cell>
          <cell r="BG76">
            <v>62.75</v>
          </cell>
          <cell r="BH76" t="str">
            <v>3.Водяной</v>
          </cell>
          <cell r="BI76" t="str">
            <v>МУП УИС</v>
          </cell>
          <cell r="BJ76">
            <v>62.75</v>
          </cell>
          <cell r="BK76">
            <v>62.75</v>
          </cell>
          <cell r="BL76" t="str">
            <v>2.Кирпич</v>
          </cell>
          <cell r="BM76">
            <v>22282</v>
          </cell>
          <cell r="BN76">
            <v>22282</v>
          </cell>
          <cell r="BO76" t="str">
            <v>Не оборудован</v>
          </cell>
          <cell r="BP76" t="str">
            <v>1.Абсоцемент(шифер)</v>
          </cell>
          <cell r="BQ76" t="str">
            <v>1.Скатная</v>
          </cell>
          <cell r="BR76">
            <v>280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 t="str">
            <v>1.Муниципальная</v>
          </cell>
          <cell r="BX76">
            <v>4</v>
          </cell>
          <cell r="BY76">
            <v>0</v>
          </cell>
          <cell r="BZ76" t="str">
            <v>3-я</v>
          </cell>
          <cell r="CA76">
            <v>1</v>
          </cell>
          <cell r="CB76">
            <v>27.01</v>
          </cell>
          <cell r="CC76">
            <v>27.009994506835938</v>
          </cell>
          <cell r="CD76">
            <v>27.009994506835938</v>
          </cell>
          <cell r="CE76">
            <v>27.009994506835938</v>
          </cell>
          <cell r="CF76" t="str">
            <v>ООО "Дёма Комфорт"</v>
          </cell>
          <cell r="CG76">
            <v>1</v>
          </cell>
          <cell r="CH76">
            <v>3</v>
          </cell>
          <cell r="CI76">
            <v>3</v>
          </cell>
          <cell r="CJ76">
            <v>3</v>
          </cell>
          <cell r="CK76">
            <v>0</v>
          </cell>
          <cell r="CL76">
            <v>0</v>
          </cell>
          <cell r="CM76">
            <v>4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4</v>
          </cell>
          <cell r="CU76">
            <v>0</v>
          </cell>
          <cell r="CV76">
            <v>0</v>
          </cell>
          <cell r="CW76">
            <v>0</v>
          </cell>
          <cell r="CX76">
            <v>1</v>
          </cell>
          <cell r="CY76">
            <v>1</v>
          </cell>
          <cell r="CZ76">
            <v>624</v>
          </cell>
          <cell r="DA76" t="str">
            <v>Демский</v>
          </cell>
          <cell r="DB76" t="str">
            <v>2.Деревянные</v>
          </cell>
          <cell r="DC76">
            <v>624</v>
          </cell>
          <cell r="DD76">
            <v>624</v>
          </cell>
          <cell r="DE76">
            <v>624</v>
          </cell>
          <cell r="DF76">
            <v>624</v>
          </cell>
          <cell r="DG76">
            <v>624</v>
          </cell>
          <cell r="DH76">
            <v>624</v>
          </cell>
          <cell r="DI76">
            <v>624</v>
          </cell>
          <cell r="DJ76">
            <v>624</v>
          </cell>
          <cell r="DK76">
            <v>0</v>
          </cell>
          <cell r="DL76">
            <v>0</v>
          </cell>
          <cell r="DM76">
            <v>450366</v>
          </cell>
          <cell r="DN76">
            <v>0</v>
          </cell>
          <cell r="DO76" t="str">
            <v>Отсутствует</v>
          </cell>
          <cell r="DP76" t="str">
            <v>УЖХ</v>
          </cell>
          <cell r="DQ76">
            <v>39507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1</v>
          </cell>
          <cell r="EC76">
            <v>0</v>
          </cell>
          <cell r="ED76" t="str">
            <v>4. Независимая схема</v>
          </cell>
          <cell r="EE76" t="str">
            <v>Нижний</v>
          </cell>
          <cell r="EF76">
            <v>0</v>
          </cell>
          <cell r="EG76">
            <v>0</v>
          </cell>
          <cell r="EH76">
            <v>0</v>
          </cell>
          <cell r="EI76">
            <v>62.87</v>
          </cell>
          <cell r="EJ76">
            <v>62.8699951171875</v>
          </cell>
          <cell r="EK76">
            <v>62.8699951171875</v>
          </cell>
          <cell r="EL76">
            <v>62.8699951171875</v>
          </cell>
          <cell r="EM76">
            <v>62.8699951171875</v>
          </cell>
          <cell r="EN76">
            <v>0</v>
          </cell>
          <cell r="EO76">
            <v>0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17.7</v>
          </cell>
          <cell r="FG76">
            <v>17.699996948242188</v>
          </cell>
          <cell r="FH76">
            <v>17.699996948242188</v>
          </cell>
          <cell r="FI76">
            <v>44013</v>
          </cell>
          <cell r="FJ76">
            <v>15477</v>
          </cell>
          <cell r="FK76">
            <v>15477</v>
          </cell>
          <cell r="FL76">
            <v>168.7</v>
          </cell>
          <cell r="FM76">
            <v>78.92</v>
          </cell>
          <cell r="FN76">
            <v>108.04</v>
          </cell>
          <cell r="FO76">
            <v>324.12</v>
          </cell>
        </row>
        <row r="77">
          <cell r="AI77" t="str">
            <v>Ул. Центральная дом 38</v>
          </cell>
          <cell r="AJ77">
            <v>324.119873046875</v>
          </cell>
          <cell r="AK77">
            <v>539.4</v>
          </cell>
          <cell r="AL77">
            <v>342.2</v>
          </cell>
          <cell r="AM77">
            <v>2</v>
          </cell>
          <cell r="AN77">
            <v>2</v>
          </cell>
          <cell r="AO77" t="str">
            <v>АО УЖХ Демского района</v>
          </cell>
          <cell r="AP77">
            <v>485.25</v>
          </cell>
          <cell r="AQ77">
            <v>55.15</v>
          </cell>
          <cell r="AR77">
            <v>35.200000000000003</v>
          </cell>
          <cell r="AS77">
            <v>0</v>
          </cell>
          <cell r="AT77">
            <v>8</v>
          </cell>
          <cell r="AU77">
            <v>2</v>
          </cell>
          <cell r="AV77">
            <v>30</v>
          </cell>
          <cell r="AW77">
            <v>0</v>
          </cell>
          <cell r="AX77">
            <v>0</v>
          </cell>
          <cell r="AY77">
            <v>0</v>
          </cell>
          <cell r="AZ77">
            <v>548.70000000000005</v>
          </cell>
          <cell r="BA77">
            <v>1318.6</v>
          </cell>
          <cell r="BB77">
            <v>1318.599609375</v>
          </cell>
          <cell r="BC77" t="str">
            <v>Непосредственное</v>
          </cell>
          <cell r="BD77" t="str">
            <v>1. Жилой дом</v>
          </cell>
          <cell r="BE77">
            <v>68.599999999999994</v>
          </cell>
          <cell r="BF77" t="str">
            <v>1.Оцинкованный</v>
          </cell>
          <cell r="BG77">
            <v>68.5999755859375</v>
          </cell>
          <cell r="BH77" t="str">
            <v>3.Водяной</v>
          </cell>
          <cell r="BI77" t="str">
            <v>МУП УИС</v>
          </cell>
          <cell r="BJ77" t="str">
            <v>1. Чугун</v>
          </cell>
          <cell r="BK77">
            <v>68.5999755859375</v>
          </cell>
          <cell r="BL77" t="str">
            <v>2.Кирпич</v>
          </cell>
          <cell r="BM77">
            <v>13881</v>
          </cell>
          <cell r="BN77">
            <v>13881</v>
          </cell>
          <cell r="BO77" t="str">
            <v>Не оборудован</v>
          </cell>
          <cell r="BP77" t="str">
            <v>8.Профнастил</v>
          </cell>
          <cell r="BQ77" t="str">
            <v>1.Скатная</v>
          </cell>
          <cell r="BR77">
            <v>480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 t="str">
            <v>3.Частный жилищный фонд</v>
          </cell>
          <cell r="BX77">
            <v>8</v>
          </cell>
          <cell r="BY77">
            <v>0</v>
          </cell>
          <cell r="BZ77" t="str">
            <v>2-я</v>
          </cell>
          <cell r="CA77">
            <v>1</v>
          </cell>
          <cell r="CB77">
            <v>27.01</v>
          </cell>
          <cell r="CC77">
            <v>27.009994506835938</v>
          </cell>
          <cell r="CD77">
            <v>27.009994506835938</v>
          </cell>
          <cell r="CE77">
            <v>27.009994506835938</v>
          </cell>
          <cell r="CF77" t="str">
            <v>ООО "Гранд"</v>
          </cell>
          <cell r="CG77">
            <v>6</v>
          </cell>
          <cell r="CH77">
            <v>2</v>
          </cell>
          <cell r="CI77">
            <v>2</v>
          </cell>
          <cell r="CJ77">
            <v>2</v>
          </cell>
          <cell r="CK77">
            <v>0</v>
          </cell>
          <cell r="CL77">
            <v>0</v>
          </cell>
          <cell r="CM77">
            <v>12</v>
          </cell>
          <cell r="CN77">
            <v>35.200000000000003</v>
          </cell>
          <cell r="CO77">
            <v>0</v>
          </cell>
          <cell r="CP77">
            <v>35.200000000000003</v>
          </cell>
          <cell r="CQ77">
            <v>35.199981689453125</v>
          </cell>
          <cell r="CR77">
            <v>35.199981689453125</v>
          </cell>
          <cell r="CS77">
            <v>0</v>
          </cell>
          <cell r="CT77">
            <v>8</v>
          </cell>
          <cell r="CU77">
            <v>0</v>
          </cell>
          <cell r="CV77">
            <v>0</v>
          </cell>
          <cell r="CW77">
            <v>0</v>
          </cell>
          <cell r="CX77">
            <v>1</v>
          </cell>
          <cell r="CY77">
            <v>1</v>
          </cell>
          <cell r="CZ77">
            <v>2916</v>
          </cell>
          <cell r="DA77" t="str">
            <v>Демский</v>
          </cell>
          <cell r="DB77" t="str">
            <v>2.Деревянные</v>
          </cell>
          <cell r="DC77">
            <v>2916</v>
          </cell>
          <cell r="DD77">
            <v>2916</v>
          </cell>
          <cell r="DE77">
            <v>2916</v>
          </cell>
          <cell r="DF77">
            <v>2916</v>
          </cell>
          <cell r="DG77">
            <v>2916</v>
          </cell>
          <cell r="DH77">
            <v>2916</v>
          </cell>
          <cell r="DI77">
            <v>2916</v>
          </cell>
          <cell r="DJ77">
            <v>2916</v>
          </cell>
          <cell r="DK77">
            <v>0</v>
          </cell>
          <cell r="DL77">
            <v>0</v>
          </cell>
          <cell r="DM77">
            <v>1071460</v>
          </cell>
          <cell r="DN77">
            <v>0</v>
          </cell>
          <cell r="DO77">
            <v>0</v>
          </cell>
          <cell r="DP77" t="str">
            <v>УЖХ</v>
          </cell>
          <cell r="DQ77">
            <v>35492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 t="str">
            <v>3.Зависимая схема</v>
          </cell>
          <cell r="EE77" t="str">
            <v>Верхний</v>
          </cell>
          <cell r="EF77">
            <v>0</v>
          </cell>
          <cell r="EG77">
            <v>0</v>
          </cell>
          <cell r="EH77">
            <v>0</v>
          </cell>
          <cell r="EI77">
            <v>1318.6</v>
          </cell>
          <cell r="EJ77">
            <v>345.3</v>
          </cell>
          <cell r="EK77">
            <v>113</v>
          </cell>
          <cell r="EL77">
            <v>113</v>
          </cell>
          <cell r="EM77">
            <v>60.8</v>
          </cell>
          <cell r="EN77">
            <v>2</v>
          </cell>
          <cell r="EO77">
            <v>2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8</v>
          </cell>
          <cell r="EX77">
            <v>1</v>
          </cell>
          <cell r="EY77">
            <v>1</v>
          </cell>
          <cell r="EZ77">
            <v>0</v>
          </cell>
          <cell r="FA77">
            <v>21.6</v>
          </cell>
          <cell r="FB77">
            <v>1</v>
          </cell>
          <cell r="FC77">
            <v>1</v>
          </cell>
          <cell r="FD77">
            <v>0</v>
          </cell>
          <cell r="FE77">
            <v>0</v>
          </cell>
          <cell r="FF77">
            <v>19.48</v>
          </cell>
          <cell r="FG77">
            <v>19.479995727539063</v>
          </cell>
          <cell r="FH77" t="str">
            <v>С УЛК (ЖЭУ)</v>
          </cell>
          <cell r="FI77">
            <v>43647</v>
          </cell>
          <cell r="FJ77">
            <v>15477</v>
          </cell>
          <cell r="FK77">
            <v>15477</v>
          </cell>
          <cell r="FL77">
            <v>574.6</v>
          </cell>
          <cell r="FM77">
            <v>78.92</v>
          </cell>
          <cell r="FN77">
            <v>216.08</v>
          </cell>
          <cell r="FO77">
            <v>648.24</v>
          </cell>
        </row>
        <row r="78">
          <cell r="AI78" t="str">
            <v>Ул. Центральная дом 40</v>
          </cell>
          <cell r="AJ78">
            <v>648.23974609375</v>
          </cell>
          <cell r="AK78">
            <v>486.5</v>
          </cell>
          <cell r="AL78">
            <v>305.5</v>
          </cell>
          <cell r="AM78">
            <v>2</v>
          </cell>
          <cell r="AN78">
            <v>2</v>
          </cell>
          <cell r="AO78" t="str">
            <v>АО УЖХ Демского района</v>
          </cell>
          <cell r="AP78">
            <v>433.4</v>
          </cell>
          <cell r="AQ78">
            <v>52.5</v>
          </cell>
          <cell r="AR78">
            <v>58.3</v>
          </cell>
          <cell r="AS78">
            <v>0</v>
          </cell>
          <cell r="AT78">
            <v>8</v>
          </cell>
          <cell r="AU78">
            <v>2</v>
          </cell>
          <cell r="AV78">
            <v>18</v>
          </cell>
          <cell r="AW78">
            <v>0</v>
          </cell>
          <cell r="AX78">
            <v>0</v>
          </cell>
          <cell r="AY78">
            <v>0</v>
          </cell>
          <cell r="AZ78">
            <v>594.5</v>
          </cell>
          <cell r="BA78">
            <v>1349.4</v>
          </cell>
          <cell r="BB78">
            <v>1349.3994140625</v>
          </cell>
          <cell r="BC78" t="str">
            <v>Непосредственное</v>
          </cell>
          <cell r="BD78" t="str">
            <v>1. Жилой дом</v>
          </cell>
          <cell r="BE78">
            <v>71</v>
          </cell>
          <cell r="BF78" t="str">
            <v>1.Оцинкованный</v>
          </cell>
          <cell r="BG78">
            <v>71</v>
          </cell>
          <cell r="BH78" t="str">
            <v>3.Водяной</v>
          </cell>
          <cell r="BI78" t="str">
            <v>МУП УИС</v>
          </cell>
          <cell r="BJ78" t="str">
            <v>1. Чугун</v>
          </cell>
          <cell r="BK78">
            <v>71</v>
          </cell>
          <cell r="BL78" t="str">
            <v>2.Кирпич</v>
          </cell>
          <cell r="BM78">
            <v>12785</v>
          </cell>
          <cell r="BN78">
            <v>12785</v>
          </cell>
          <cell r="BO78" t="str">
            <v>Не оборудован</v>
          </cell>
          <cell r="BP78" t="str">
            <v>1.Абсоцемент(шифер)</v>
          </cell>
          <cell r="BQ78" t="str">
            <v>1.Скатная</v>
          </cell>
          <cell r="BR78">
            <v>470.6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 t="str">
            <v>3.Частный жилищный фонд</v>
          </cell>
          <cell r="BX78">
            <v>8</v>
          </cell>
          <cell r="BY78">
            <v>0</v>
          </cell>
          <cell r="BZ78" t="str">
            <v>2-я</v>
          </cell>
          <cell r="CA78">
            <v>1</v>
          </cell>
          <cell r="CB78">
            <v>27.01</v>
          </cell>
          <cell r="CC78">
            <v>27.009994506835938</v>
          </cell>
          <cell r="CD78">
            <v>27.009994506835938</v>
          </cell>
          <cell r="CE78">
            <v>27.009994506835938</v>
          </cell>
          <cell r="CF78" t="str">
            <v>ООО "Гранд"</v>
          </cell>
          <cell r="CG78">
            <v>7</v>
          </cell>
          <cell r="CH78">
            <v>1</v>
          </cell>
          <cell r="CI78">
            <v>1</v>
          </cell>
          <cell r="CJ78">
            <v>1</v>
          </cell>
          <cell r="CK78">
            <v>0</v>
          </cell>
          <cell r="CL78">
            <v>0</v>
          </cell>
          <cell r="CM78">
            <v>11</v>
          </cell>
          <cell r="CN78">
            <v>58.3</v>
          </cell>
          <cell r="CO78">
            <v>0</v>
          </cell>
          <cell r="CP78">
            <v>58.3</v>
          </cell>
          <cell r="CQ78">
            <v>58.29998779296875</v>
          </cell>
          <cell r="CR78">
            <v>58.29998779296875</v>
          </cell>
          <cell r="CS78">
            <v>0</v>
          </cell>
          <cell r="CT78">
            <v>8</v>
          </cell>
          <cell r="CU78">
            <v>0</v>
          </cell>
          <cell r="CV78">
            <v>0</v>
          </cell>
          <cell r="CW78">
            <v>0</v>
          </cell>
          <cell r="CX78">
            <v>1</v>
          </cell>
          <cell r="CY78">
            <v>1</v>
          </cell>
          <cell r="CZ78">
            <v>2520</v>
          </cell>
          <cell r="DA78" t="str">
            <v>Демский</v>
          </cell>
          <cell r="DB78" t="str">
            <v>2.Деревянные</v>
          </cell>
          <cell r="DC78">
            <v>2520</v>
          </cell>
          <cell r="DD78">
            <v>2520</v>
          </cell>
          <cell r="DE78">
            <v>2520</v>
          </cell>
          <cell r="DF78">
            <v>2520</v>
          </cell>
          <cell r="DG78">
            <v>2520</v>
          </cell>
          <cell r="DH78">
            <v>2520</v>
          </cell>
          <cell r="DI78">
            <v>2520</v>
          </cell>
          <cell r="DJ78">
            <v>2520</v>
          </cell>
          <cell r="DK78">
            <v>0</v>
          </cell>
          <cell r="DL78">
            <v>0</v>
          </cell>
          <cell r="DM78">
            <v>926659</v>
          </cell>
          <cell r="DN78">
            <v>0</v>
          </cell>
          <cell r="DO78">
            <v>0</v>
          </cell>
          <cell r="DP78" t="str">
            <v>УЖХ</v>
          </cell>
          <cell r="DQ78">
            <v>40310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 t="str">
            <v>3.Зависимая схема</v>
          </cell>
          <cell r="EE78" t="str">
            <v>Верхний</v>
          </cell>
          <cell r="EF78">
            <v>0</v>
          </cell>
          <cell r="EG78">
            <v>0</v>
          </cell>
          <cell r="EH78">
            <v>0</v>
          </cell>
          <cell r="EI78">
            <v>1349.4</v>
          </cell>
          <cell r="EJ78">
            <v>312.10000000000002</v>
          </cell>
          <cell r="EK78">
            <v>159.4</v>
          </cell>
          <cell r="EL78">
            <v>68</v>
          </cell>
          <cell r="EM78">
            <v>55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20.7</v>
          </cell>
          <cell r="FG78">
            <v>20.699996948242188</v>
          </cell>
          <cell r="FH78" t="str">
            <v>С УЛК (ЖЭУ)</v>
          </cell>
          <cell r="FI78">
            <v>43647</v>
          </cell>
          <cell r="FJ78">
            <v>15477</v>
          </cell>
          <cell r="FK78">
            <v>15477</v>
          </cell>
          <cell r="FL78">
            <v>544.79999999999995</v>
          </cell>
          <cell r="FM78">
            <v>78.92</v>
          </cell>
          <cell r="FN78">
            <v>216.08</v>
          </cell>
          <cell r="FO78">
            <v>648.24</v>
          </cell>
        </row>
        <row r="79">
          <cell r="AI79" t="str">
            <v>Ул. Центральная дом 30</v>
          </cell>
          <cell r="AJ79">
            <v>648.23974609375</v>
          </cell>
          <cell r="AK79">
            <v>971.9</v>
          </cell>
          <cell r="AL79">
            <v>738.6</v>
          </cell>
          <cell r="AM79">
            <v>4</v>
          </cell>
          <cell r="AN79">
            <v>4</v>
          </cell>
          <cell r="AO79" t="str">
            <v>АО УЖХ Демского района</v>
          </cell>
          <cell r="AP79">
            <v>920.8</v>
          </cell>
          <cell r="AQ79">
            <v>50.4</v>
          </cell>
          <cell r="AR79">
            <v>79.400000000000006</v>
          </cell>
          <cell r="AS79">
            <v>8.6999999999999993</v>
          </cell>
          <cell r="AT79">
            <v>16</v>
          </cell>
          <cell r="AU79">
            <v>2</v>
          </cell>
          <cell r="AV79">
            <v>57</v>
          </cell>
          <cell r="AW79">
            <v>0</v>
          </cell>
          <cell r="AX79">
            <v>0</v>
          </cell>
          <cell r="AY79">
            <v>0</v>
          </cell>
          <cell r="AZ79">
            <v>491.7</v>
          </cell>
          <cell r="BA79">
            <v>558.6</v>
          </cell>
          <cell r="BB79">
            <v>558.599609375</v>
          </cell>
          <cell r="BC79" t="str">
            <v>Непосредственное</v>
          </cell>
          <cell r="BD79" t="str">
            <v>1. Жилой дом</v>
          </cell>
          <cell r="BE79">
            <v>71</v>
          </cell>
          <cell r="BF79" t="str">
            <v>2.Чёрный</v>
          </cell>
          <cell r="BG79">
            <v>71</v>
          </cell>
          <cell r="BH79" t="str">
            <v>3.Водяной</v>
          </cell>
          <cell r="BI79" t="str">
            <v>МУП УИС</v>
          </cell>
          <cell r="BJ79" t="str">
            <v>1. Чугун</v>
          </cell>
          <cell r="BK79">
            <v>71</v>
          </cell>
          <cell r="BL79" t="str">
            <v>2.Кирпич</v>
          </cell>
          <cell r="BM79">
            <v>12785</v>
          </cell>
          <cell r="BN79">
            <v>12785</v>
          </cell>
          <cell r="BO79" t="str">
            <v>Оборудован</v>
          </cell>
          <cell r="BP79" t="str">
            <v>1.Абсоцемент(шифер)</v>
          </cell>
          <cell r="BQ79" t="str">
            <v>1.Скатная</v>
          </cell>
          <cell r="BR79">
            <v>979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 t="str">
            <v>3.Частный жилищный фонд</v>
          </cell>
          <cell r="BX79">
            <v>16</v>
          </cell>
          <cell r="BY79">
            <v>0</v>
          </cell>
          <cell r="BZ79" t="str">
            <v>2-я</v>
          </cell>
          <cell r="CA79">
            <v>1</v>
          </cell>
          <cell r="CB79">
            <v>27.01</v>
          </cell>
          <cell r="CC79">
            <v>27.009994506835938</v>
          </cell>
          <cell r="CD79">
            <v>27.009994506835938</v>
          </cell>
          <cell r="CE79">
            <v>27.009994506835938</v>
          </cell>
          <cell r="CF79" t="str">
            <v>ООО "Гранд"</v>
          </cell>
          <cell r="CG79">
            <v>15</v>
          </cell>
          <cell r="CH79">
            <v>1</v>
          </cell>
          <cell r="CI79">
            <v>1</v>
          </cell>
          <cell r="CJ79">
            <v>1</v>
          </cell>
          <cell r="CK79">
            <v>0</v>
          </cell>
          <cell r="CL79">
            <v>0</v>
          </cell>
          <cell r="CM79">
            <v>24</v>
          </cell>
          <cell r="CN79">
            <v>88.1</v>
          </cell>
          <cell r="CO79">
            <v>0</v>
          </cell>
          <cell r="CP79">
            <v>88.1</v>
          </cell>
          <cell r="CQ79">
            <v>88.0999755859375</v>
          </cell>
          <cell r="CR79">
            <v>88.0999755859375</v>
          </cell>
          <cell r="CS79">
            <v>0</v>
          </cell>
          <cell r="CT79">
            <v>16</v>
          </cell>
          <cell r="CU79">
            <v>0</v>
          </cell>
          <cell r="CV79">
            <v>0</v>
          </cell>
          <cell r="CW79">
            <v>0</v>
          </cell>
          <cell r="CX79">
            <v>1</v>
          </cell>
          <cell r="CY79">
            <v>1</v>
          </cell>
          <cell r="CZ79">
            <v>4508</v>
          </cell>
          <cell r="DA79" t="str">
            <v>Демский</v>
          </cell>
          <cell r="DB79" t="str">
            <v>2.Деревянные</v>
          </cell>
          <cell r="DC79">
            <v>4508</v>
          </cell>
          <cell r="DD79">
            <v>4508</v>
          </cell>
          <cell r="DE79">
            <v>4508</v>
          </cell>
          <cell r="DF79">
            <v>4508</v>
          </cell>
          <cell r="DG79">
            <v>4508</v>
          </cell>
          <cell r="DH79">
            <v>4508</v>
          </cell>
          <cell r="DI79">
            <v>4508</v>
          </cell>
          <cell r="DJ79">
            <v>4508</v>
          </cell>
          <cell r="DK79">
            <v>0</v>
          </cell>
          <cell r="DL79">
            <v>0</v>
          </cell>
          <cell r="DM79">
            <v>1662969</v>
          </cell>
          <cell r="DN79">
            <v>0</v>
          </cell>
          <cell r="DO79">
            <v>0</v>
          </cell>
          <cell r="DP79" t="str">
            <v>УЖХ</v>
          </cell>
          <cell r="DQ79">
            <v>35492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 t="str">
            <v>3.Зависимая схема</v>
          </cell>
          <cell r="EE79" t="str">
            <v>Верхний</v>
          </cell>
          <cell r="EF79">
            <v>0</v>
          </cell>
          <cell r="EG79">
            <v>0</v>
          </cell>
          <cell r="EH79">
            <v>80</v>
          </cell>
          <cell r="EI79">
            <v>478.6</v>
          </cell>
          <cell r="EJ79">
            <v>378.7</v>
          </cell>
          <cell r="EK79">
            <v>378.699951171875</v>
          </cell>
          <cell r="EL79">
            <v>378.699951171875</v>
          </cell>
          <cell r="EM79">
            <v>378.699951171875</v>
          </cell>
          <cell r="EN79">
            <v>3</v>
          </cell>
          <cell r="EO79">
            <v>3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32</v>
          </cell>
          <cell r="EX79">
            <v>1</v>
          </cell>
          <cell r="EY79">
            <v>1</v>
          </cell>
          <cell r="EZ79">
            <v>0</v>
          </cell>
          <cell r="FA79">
            <v>81</v>
          </cell>
          <cell r="FB79">
            <v>1</v>
          </cell>
          <cell r="FC79">
            <v>1</v>
          </cell>
          <cell r="FD79">
            <v>0</v>
          </cell>
          <cell r="FE79">
            <v>0</v>
          </cell>
          <cell r="FF79">
            <v>18.649999999999999</v>
          </cell>
          <cell r="FG79">
            <v>18.649993896484375</v>
          </cell>
          <cell r="FH79" t="str">
            <v>С УЛК (ЖЭУ)</v>
          </cell>
          <cell r="FI79">
            <v>43647</v>
          </cell>
          <cell r="FJ79">
            <v>15477</v>
          </cell>
          <cell r="FK79">
            <v>15477</v>
          </cell>
          <cell r="FL79">
            <v>1060</v>
          </cell>
          <cell r="FM79">
            <v>78.92</v>
          </cell>
          <cell r="FN79">
            <v>432.16</v>
          </cell>
          <cell r="FO79">
            <v>1296.48</v>
          </cell>
        </row>
        <row r="80">
          <cell r="AI80" t="str">
            <v>Ул. Магистральная дом 20/1</v>
          </cell>
          <cell r="AJ80">
            <v>1296.4794921875</v>
          </cell>
          <cell r="AK80">
            <v>2817.8</v>
          </cell>
          <cell r="AL80">
            <v>1447.2</v>
          </cell>
          <cell r="AM80">
            <v>1</v>
          </cell>
          <cell r="AN80">
            <v>1</v>
          </cell>
          <cell r="AO80" t="str">
            <v>АО УЖХ Демского района</v>
          </cell>
          <cell r="AP80">
            <v>2785.2</v>
          </cell>
          <cell r="AQ80">
            <v>32.9</v>
          </cell>
          <cell r="AR80">
            <v>123.3</v>
          </cell>
          <cell r="AS80">
            <v>387</v>
          </cell>
          <cell r="AT80">
            <v>72</v>
          </cell>
          <cell r="AU80">
            <v>9</v>
          </cell>
          <cell r="AV80">
            <v>132</v>
          </cell>
          <cell r="AW80">
            <v>132</v>
          </cell>
          <cell r="AX80" t="str">
            <v>отказ от услуги</v>
          </cell>
          <cell r="AY80">
            <v>132</v>
          </cell>
          <cell r="AZ80">
            <v>647</v>
          </cell>
          <cell r="BA80">
            <v>3778.9</v>
          </cell>
          <cell r="BB80">
            <v>3778.8984375</v>
          </cell>
          <cell r="BC80" t="str">
            <v>Управляющая компания</v>
          </cell>
          <cell r="BD80" t="str">
            <v>1. Жилой дом</v>
          </cell>
          <cell r="BE80">
            <v>23.8</v>
          </cell>
          <cell r="BF80" t="str">
            <v>2.Чёрный</v>
          </cell>
          <cell r="BG80" t="str">
            <v>2.Чёрный</v>
          </cell>
          <cell r="BH80" t="str">
            <v>3.Водяной</v>
          </cell>
          <cell r="BI80" t="str">
            <v>МУП УИС</v>
          </cell>
          <cell r="BJ80" t="str">
            <v>1. Чугун</v>
          </cell>
          <cell r="BK80">
            <v>1</v>
          </cell>
          <cell r="BL80" t="str">
            <v>8.Сборные ж/б</v>
          </cell>
          <cell r="BM80">
            <v>34335</v>
          </cell>
          <cell r="BN80">
            <v>34335</v>
          </cell>
          <cell r="BO80" t="str">
            <v>Оборудован</v>
          </cell>
          <cell r="BP80" t="str">
            <v>4.Мягк/рулонная</v>
          </cell>
          <cell r="BQ80" t="str">
            <v>2.Плоская</v>
          </cell>
          <cell r="BR80">
            <v>543</v>
          </cell>
          <cell r="BS80">
            <v>379.2</v>
          </cell>
          <cell r="BT80">
            <v>379.199951171875</v>
          </cell>
          <cell r="BU80">
            <v>379.199951171875</v>
          </cell>
          <cell r="BV80">
            <v>0</v>
          </cell>
          <cell r="BW80" t="str">
            <v>3.Частный жилищный фонд</v>
          </cell>
          <cell r="BX80">
            <v>0</v>
          </cell>
          <cell r="BY80">
            <v>72</v>
          </cell>
          <cell r="BZ80" t="str">
            <v>2-я</v>
          </cell>
          <cell r="CA80">
            <v>1</v>
          </cell>
          <cell r="CB80">
            <v>27.01</v>
          </cell>
          <cell r="CC80">
            <v>27.009994506835938</v>
          </cell>
          <cell r="CD80">
            <v>2818.1</v>
          </cell>
          <cell r="CE80">
            <v>2818.099609375</v>
          </cell>
          <cell r="CF80" t="str">
            <v>ООО "Дёма Комфорт"</v>
          </cell>
          <cell r="CG80">
            <v>71</v>
          </cell>
          <cell r="CH80">
            <v>1</v>
          </cell>
          <cell r="CI80">
            <v>1</v>
          </cell>
          <cell r="CJ80">
            <v>1</v>
          </cell>
          <cell r="CK80">
            <v>0</v>
          </cell>
          <cell r="CL80">
            <v>1</v>
          </cell>
          <cell r="CM80">
            <v>72</v>
          </cell>
          <cell r="CN80">
            <v>510.3</v>
          </cell>
          <cell r="CO80">
            <v>510.3</v>
          </cell>
          <cell r="CP80">
            <v>889.5</v>
          </cell>
          <cell r="CQ80">
            <v>889.5</v>
          </cell>
          <cell r="CR80">
            <v>889.5</v>
          </cell>
          <cell r="CS80">
            <v>1</v>
          </cell>
          <cell r="CT80">
            <v>72</v>
          </cell>
          <cell r="CU80">
            <v>0</v>
          </cell>
          <cell r="CV80">
            <v>62</v>
          </cell>
          <cell r="CW80">
            <v>65</v>
          </cell>
          <cell r="CX80">
            <v>2</v>
          </cell>
          <cell r="CY80">
            <v>2</v>
          </cell>
          <cell r="CZ80">
            <v>11269.5</v>
          </cell>
          <cell r="DA80" t="str">
            <v>Демский</v>
          </cell>
          <cell r="DB80" t="str">
            <v>3.Сборные ж/б панели</v>
          </cell>
          <cell r="DC80">
            <v>11269.5</v>
          </cell>
          <cell r="DD80">
            <v>11269.5</v>
          </cell>
          <cell r="DE80">
            <v>11269.5</v>
          </cell>
          <cell r="DF80">
            <v>11269.5</v>
          </cell>
          <cell r="DG80">
            <v>11269.5</v>
          </cell>
          <cell r="DH80">
            <v>11269.5</v>
          </cell>
          <cell r="DI80">
            <v>11269.5</v>
          </cell>
          <cell r="DJ80" t="str">
            <v>АО УЖХ Демского района</v>
          </cell>
          <cell r="DK80">
            <v>11269.5</v>
          </cell>
          <cell r="DL80">
            <v>11269.5</v>
          </cell>
          <cell r="DM80">
            <v>1207780</v>
          </cell>
          <cell r="DN80">
            <v>1</v>
          </cell>
          <cell r="DO80" t="str">
            <v>ГВС</v>
          </cell>
          <cell r="DP80" t="str">
            <v>УЖХ</v>
          </cell>
          <cell r="DQ80">
            <v>39156</v>
          </cell>
          <cell r="DR80">
            <v>0</v>
          </cell>
          <cell r="DS80">
            <v>72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 t="str">
            <v>4. Независимая схема</v>
          </cell>
          <cell r="EE80" t="str">
            <v>Нижний</v>
          </cell>
          <cell r="EF80">
            <v>0</v>
          </cell>
          <cell r="EG80">
            <v>0</v>
          </cell>
          <cell r="EH80">
            <v>0</v>
          </cell>
          <cell r="EI80">
            <v>3778.9</v>
          </cell>
          <cell r="EJ80">
            <v>120</v>
          </cell>
          <cell r="EK80">
            <v>304</v>
          </cell>
          <cell r="EL80">
            <v>60</v>
          </cell>
          <cell r="EM80">
            <v>135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28</v>
          </cell>
          <cell r="FB80">
            <v>1</v>
          </cell>
          <cell r="FC80">
            <v>1</v>
          </cell>
          <cell r="FD80">
            <v>0</v>
          </cell>
          <cell r="FE80">
            <v>0</v>
          </cell>
          <cell r="FF80">
            <v>20.39</v>
          </cell>
          <cell r="FG80">
            <v>2</v>
          </cell>
          <cell r="FH80">
            <v>2</v>
          </cell>
          <cell r="FI80">
            <v>43048</v>
          </cell>
          <cell r="FJ80">
            <v>15477</v>
          </cell>
          <cell r="FK80">
            <v>15477</v>
          </cell>
          <cell r="FL80">
            <v>3870.5</v>
          </cell>
          <cell r="FM80">
            <v>78.92</v>
          </cell>
          <cell r="FN80">
            <v>1944.72</v>
          </cell>
          <cell r="FO80">
            <v>1944.72</v>
          </cell>
        </row>
        <row r="81">
          <cell r="AI81" t="str">
            <v>Ул. Центральная дом 42</v>
          </cell>
          <cell r="AJ81">
            <v>1944.7197265625</v>
          </cell>
          <cell r="AK81">
            <v>488.7</v>
          </cell>
          <cell r="AL81">
            <v>310</v>
          </cell>
          <cell r="AM81">
            <v>2</v>
          </cell>
          <cell r="AN81">
            <v>2</v>
          </cell>
          <cell r="AO81" t="str">
            <v>АО УЖХ Демского района</v>
          </cell>
          <cell r="AP81">
            <v>351.2</v>
          </cell>
          <cell r="AQ81">
            <v>137.5</v>
          </cell>
          <cell r="AR81">
            <v>45.4</v>
          </cell>
          <cell r="AS81">
            <v>11.5</v>
          </cell>
          <cell r="AT81">
            <v>8</v>
          </cell>
          <cell r="AU81">
            <v>2</v>
          </cell>
          <cell r="AV81">
            <v>28</v>
          </cell>
          <cell r="AW81">
            <v>0</v>
          </cell>
          <cell r="AX81">
            <v>0</v>
          </cell>
          <cell r="AY81">
            <v>0</v>
          </cell>
          <cell r="AZ81">
            <v>746.8</v>
          </cell>
          <cell r="BA81">
            <v>1584.3</v>
          </cell>
          <cell r="BB81">
            <v>1584.2998046875</v>
          </cell>
          <cell r="BC81" t="str">
            <v>Непосредственное</v>
          </cell>
          <cell r="BD81" t="str">
            <v>1. Жилой дом</v>
          </cell>
          <cell r="BE81">
            <v>70.2</v>
          </cell>
          <cell r="BF81" t="str">
            <v>2.Чёрный</v>
          </cell>
          <cell r="BG81">
            <v>70.199951171875</v>
          </cell>
          <cell r="BH81" t="str">
            <v>3.Водяной</v>
          </cell>
          <cell r="BI81" t="str">
            <v>МУП УИС</v>
          </cell>
          <cell r="BJ81" t="str">
            <v>1. Чугун</v>
          </cell>
          <cell r="BK81">
            <v>70.199951171875</v>
          </cell>
          <cell r="BL81" t="str">
            <v>2.Кирпич</v>
          </cell>
          <cell r="BM81">
            <v>13150</v>
          </cell>
          <cell r="BN81">
            <v>13150</v>
          </cell>
          <cell r="BO81" t="str">
            <v>Не оборудован</v>
          </cell>
          <cell r="BP81" t="str">
            <v>1.Абсоцемент(шифер)</v>
          </cell>
          <cell r="BQ81" t="str">
            <v>1.Скатная</v>
          </cell>
          <cell r="BR81">
            <v>470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 t="str">
            <v>3.Частный жилищный фонд</v>
          </cell>
          <cell r="BX81">
            <v>8</v>
          </cell>
          <cell r="BY81">
            <v>0</v>
          </cell>
          <cell r="BZ81" t="str">
            <v>2-я</v>
          </cell>
          <cell r="CA81">
            <v>1</v>
          </cell>
          <cell r="CB81">
            <v>27.01</v>
          </cell>
          <cell r="CC81">
            <v>27.009994506835938</v>
          </cell>
          <cell r="CD81">
            <v>27.009994506835938</v>
          </cell>
          <cell r="CE81">
            <v>27.009994506835938</v>
          </cell>
          <cell r="CF81" t="str">
            <v>ООО "Гранд"</v>
          </cell>
          <cell r="CG81">
            <v>6</v>
          </cell>
          <cell r="CH81">
            <v>2</v>
          </cell>
          <cell r="CI81">
            <v>2</v>
          </cell>
          <cell r="CJ81">
            <v>2</v>
          </cell>
          <cell r="CK81">
            <v>0</v>
          </cell>
          <cell r="CL81">
            <v>0</v>
          </cell>
          <cell r="CM81">
            <v>12</v>
          </cell>
          <cell r="CN81">
            <v>56.9</v>
          </cell>
          <cell r="CO81">
            <v>0</v>
          </cell>
          <cell r="CP81">
            <v>56.9</v>
          </cell>
          <cell r="CQ81">
            <v>56.899993896484375</v>
          </cell>
          <cell r="CR81">
            <v>56.899993896484375</v>
          </cell>
          <cell r="CS81">
            <v>0</v>
          </cell>
          <cell r="CT81">
            <v>8</v>
          </cell>
          <cell r="CU81">
            <v>0</v>
          </cell>
          <cell r="CV81">
            <v>0</v>
          </cell>
          <cell r="CW81">
            <v>0</v>
          </cell>
          <cell r="CX81">
            <v>1</v>
          </cell>
          <cell r="CY81">
            <v>1</v>
          </cell>
          <cell r="CZ81">
            <v>2551</v>
          </cell>
          <cell r="DA81" t="str">
            <v>Демский</v>
          </cell>
          <cell r="DB81" t="str">
            <v>2.Деревянные</v>
          </cell>
          <cell r="DC81">
            <v>2551</v>
          </cell>
          <cell r="DD81">
            <v>2551</v>
          </cell>
          <cell r="DE81">
            <v>2551</v>
          </cell>
          <cell r="DF81">
            <v>2551</v>
          </cell>
          <cell r="DG81">
            <v>2551</v>
          </cell>
          <cell r="DH81">
            <v>2551</v>
          </cell>
          <cell r="DI81">
            <v>2551</v>
          </cell>
          <cell r="DJ81">
            <v>2551</v>
          </cell>
          <cell r="DK81">
            <v>0</v>
          </cell>
          <cell r="DL81">
            <v>0</v>
          </cell>
          <cell r="DM81">
            <v>941046</v>
          </cell>
          <cell r="DN81">
            <v>0</v>
          </cell>
          <cell r="DO81">
            <v>0</v>
          </cell>
          <cell r="DP81" t="str">
            <v>УЖХ</v>
          </cell>
          <cell r="DQ81">
            <v>35759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 t="str">
            <v>3.Зависимая схема</v>
          </cell>
          <cell r="EE81" t="str">
            <v>Верхний</v>
          </cell>
          <cell r="EF81">
            <v>0</v>
          </cell>
          <cell r="EG81">
            <v>0</v>
          </cell>
          <cell r="EH81">
            <v>0</v>
          </cell>
          <cell r="EI81">
            <v>1584.3</v>
          </cell>
          <cell r="EJ81">
            <v>164</v>
          </cell>
          <cell r="EK81">
            <v>397.9</v>
          </cell>
          <cell r="EL81">
            <v>60</v>
          </cell>
          <cell r="EM81">
            <v>60.9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0</v>
          </cell>
          <cell r="ET81">
            <v>0</v>
          </cell>
          <cell r="EU81">
            <v>0</v>
          </cell>
          <cell r="EV81">
            <v>0</v>
          </cell>
          <cell r="EW81">
            <v>0</v>
          </cell>
          <cell r="EX81">
            <v>0</v>
          </cell>
          <cell r="EY81">
            <v>0</v>
          </cell>
          <cell r="EZ81">
            <v>0</v>
          </cell>
          <cell r="FA81">
            <v>64</v>
          </cell>
          <cell r="FB81">
            <v>1</v>
          </cell>
          <cell r="FC81">
            <v>1</v>
          </cell>
          <cell r="FD81">
            <v>0</v>
          </cell>
          <cell r="FE81">
            <v>0</v>
          </cell>
          <cell r="FF81">
            <v>17.5</v>
          </cell>
          <cell r="FG81">
            <v>17.5</v>
          </cell>
          <cell r="FH81" t="str">
            <v>С УЛК (ЖЭУ)</v>
          </cell>
          <cell r="FI81">
            <v>43647</v>
          </cell>
          <cell r="FJ81">
            <v>15477</v>
          </cell>
          <cell r="FK81">
            <v>15477</v>
          </cell>
          <cell r="FL81">
            <v>545.6</v>
          </cell>
          <cell r="FM81">
            <v>78.92</v>
          </cell>
          <cell r="FN81">
            <v>216.08</v>
          </cell>
          <cell r="FO81">
            <v>648.24</v>
          </cell>
        </row>
        <row r="82">
          <cell r="AI82" t="str">
            <v>Ул. Центральная дом 44</v>
          </cell>
          <cell r="AJ82">
            <v>648.23974609375</v>
          </cell>
          <cell r="AK82">
            <v>498.2</v>
          </cell>
          <cell r="AL82">
            <v>324.7</v>
          </cell>
          <cell r="AM82">
            <v>2</v>
          </cell>
          <cell r="AN82">
            <v>2</v>
          </cell>
          <cell r="AO82" t="str">
            <v>АО УЖХ Демского района</v>
          </cell>
          <cell r="AP82">
            <v>498.2</v>
          </cell>
          <cell r="AQ82">
            <v>0</v>
          </cell>
          <cell r="AR82">
            <v>58.7</v>
          </cell>
          <cell r="AS82">
            <v>0</v>
          </cell>
          <cell r="AT82">
            <v>8</v>
          </cell>
          <cell r="AU82">
            <v>2</v>
          </cell>
          <cell r="AV82">
            <v>21</v>
          </cell>
          <cell r="AW82">
            <v>0</v>
          </cell>
          <cell r="AX82">
            <v>0</v>
          </cell>
          <cell r="AY82">
            <v>0</v>
          </cell>
          <cell r="AZ82">
            <v>549.4</v>
          </cell>
          <cell r="BA82">
            <v>1935.4</v>
          </cell>
          <cell r="BB82">
            <v>1935.3994140625</v>
          </cell>
          <cell r="BC82" t="str">
            <v>Непосредственное</v>
          </cell>
          <cell r="BD82" t="str">
            <v>1. Жилой дом</v>
          </cell>
          <cell r="BE82">
            <v>69.400000000000006</v>
          </cell>
          <cell r="BF82" t="str">
            <v>2.Чёрный</v>
          </cell>
          <cell r="BG82">
            <v>69.39996337890625</v>
          </cell>
          <cell r="BH82" t="str">
            <v>3.Водяной</v>
          </cell>
          <cell r="BI82" t="str">
            <v>МУП УИС</v>
          </cell>
          <cell r="BJ82" t="str">
            <v>1. Чугун</v>
          </cell>
          <cell r="BK82">
            <v>69.39996337890625</v>
          </cell>
          <cell r="BL82" t="str">
            <v>2.Кирпич</v>
          </cell>
          <cell r="BM82">
            <v>13516</v>
          </cell>
          <cell r="BN82">
            <v>13516</v>
          </cell>
          <cell r="BO82" t="str">
            <v>Не оборудован</v>
          </cell>
          <cell r="BP82" t="str">
            <v>1.Абсоцемент(шифер)</v>
          </cell>
          <cell r="BQ82" t="str">
            <v>1.Скатная</v>
          </cell>
          <cell r="BR82">
            <v>470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 t="str">
            <v>3.Частный жилищный фонд</v>
          </cell>
          <cell r="BX82">
            <v>8</v>
          </cell>
          <cell r="BY82">
            <v>0</v>
          </cell>
          <cell r="BZ82" t="str">
            <v>2-я</v>
          </cell>
          <cell r="CA82">
            <v>1</v>
          </cell>
          <cell r="CB82">
            <v>27.01</v>
          </cell>
          <cell r="CC82">
            <v>27.009994506835938</v>
          </cell>
          <cell r="CD82">
            <v>27.009994506835938</v>
          </cell>
          <cell r="CE82">
            <v>27.009994506835938</v>
          </cell>
          <cell r="CF82" t="str">
            <v>ООО "Гранд"</v>
          </cell>
          <cell r="CG82">
            <v>8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9</v>
          </cell>
          <cell r="CN82">
            <v>58.7</v>
          </cell>
          <cell r="CO82">
            <v>0</v>
          </cell>
          <cell r="CP82">
            <v>58.7</v>
          </cell>
          <cell r="CQ82">
            <v>58.699981689453125</v>
          </cell>
          <cell r="CR82">
            <v>58.699981689453125</v>
          </cell>
          <cell r="CS82">
            <v>0</v>
          </cell>
          <cell r="CT82">
            <v>8</v>
          </cell>
          <cell r="CU82">
            <v>0</v>
          </cell>
          <cell r="CV82">
            <v>0</v>
          </cell>
          <cell r="CW82">
            <v>0</v>
          </cell>
          <cell r="CX82">
            <v>1</v>
          </cell>
          <cell r="CY82">
            <v>1</v>
          </cell>
          <cell r="CZ82">
            <v>2411</v>
          </cell>
          <cell r="DA82" t="str">
            <v>Демский</v>
          </cell>
          <cell r="DB82" t="str">
            <v>2.Деревянные</v>
          </cell>
          <cell r="DC82">
            <v>2411</v>
          </cell>
          <cell r="DD82">
            <v>2411</v>
          </cell>
          <cell r="DE82">
            <v>2411</v>
          </cell>
          <cell r="DF82">
            <v>2411</v>
          </cell>
          <cell r="DG82">
            <v>2411</v>
          </cell>
          <cell r="DH82">
            <v>2411</v>
          </cell>
          <cell r="DI82">
            <v>2411</v>
          </cell>
          <cell r="DJ82">
            <v>2411</v>
          </cell>
          <cell r="DK82">
            <v>0</v>
          </cell>
          <cell r="DL82">
            <v>0</v>
          </cell>
          <cell r="DM82">
            <v>889400</v>
          </cell>
          <cell r="DN82">
            <v>0</v>
          </cell>
          <cell r="DO82">
            <v>0</v>
          </cell>
          <cell r="DP82" t="str">
            <v>УЖХ</v>
          </cell>
          <cell r="DQ82">
            <v>35759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 t="str">
            <v>3.Зависимая схема</v>
          </cell>
          <cell r="EE82" t="str">
            <v>Верхний</v>
          </cell>
          <cell r="EF82">
            <v>0</v>
          </cell>
          <cell r="EG82">
            <v>0</v>
          </cell>
          <cell r="EH82">
            <v>0</v>
          </cell>
          <cell r="EI82">
            <v>1935.4</v>
          </cell>
          <cell r="EJ82">
            <v>271</v>
          </cell>
          <cell r="EK82">
            <v>32.799999999999997</v>
          </cell>
          <cell r="EL82">
            <v>60</v>
          </cell>
          <cell r="EM82">
            <v>60.8</v>
          </cell>
          <cell r="EN82">
            <v>2</v>
          </cell>
          <cell r="EO82">
            <v>2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8</v>
          </cell>
          <cell r="EX82">
            <v>1</v>
          </cell>
          <cell r="EY82">
            <v>1</v>
          </cell>
          <cell r="EZ82">
            <v>0</v>
          </cell>
          <cell r="FA82">
            <v>116.8</v>
          </cell>
          <cell r="FB82">
            <v>1</v>
          </cell>
          <cell r="FC82">
            <v>1</v>
          </cell>
          <cell r="FD82">
            <v>0</v>
          </cell>
          <cell r="FE82">
            <v>0</v>
          </cell>
          <cell r="FF82">
            <v>20.16</v>
          </cell>
          <cell r="FG82">
            <v>20.159988403320313</v>
          </cell>
          <cell r="FH82" t="str">
            <v>С УЛК (ЖЭУ)</v>
          </cell>
          <cell r="FI82">
            <v>43466</v>
          </cell>
          <cell r="FJ82">
            <v>15477</v>
          </cell>
          <cell r="FK82">
            <v>15477</v>
          </cell>
          <cell r="FL82">
            <v>556.9</v>
          </cell>
          <cell r="FM82">
            <v>78.92</v>
          </cell>
          <cell r="FN82">
            <v>216.08</v>
          </cell>
          <cell r="FO82">
            <v>648.24</v>
          </cell>
        </row>
        <row r="83">
          <cell r="AI83" t="str">
            <v>Ул. Магистральная дом 36</v>
          </cell>
          <cell r="AJ83">
            <v>648.23974609375</v>
          </cell>
          <cell r="AK83">
            <v>446.6</v>
          </cell>
          <cell r="AL83">
            <v>300.7</v>
          </cell>
          <cell r="AM83">
            <v>2</v>
          </cell>
          <cell r="AN83">
            <v>2</v>
          </cell>
          <cell r="AO83" t="str">
            <v>АО УЖХ Демского района</v>
          </cell>
          <cell r="AP83">
            <v>333.38</v>
          </cell>
          <cell r="AQ83">
            <v>113.22</v>
          </cell>
          <cell r="AR83">
            <v>30.3</v>
          </cell>
          <cell r="AS83">
            <v>5.6</v>
          </cell>
          <cell r="AT83">
            <v>8</v>
          </cell>
          <cell r="AU83">
            <v>2</v>
          </cell>
          <cell r="AV83">
            <v>20</v>
          </cell>
          <cell r="AW83">
            <v>0</v>
          </cell>
          <cell r="AX83">
            <v>0</v>
          </cell>
          <cell r="AY83">
            <v>0</v>
          </cell>
          <cell r="AZ83">
            <v>505.2</v>
          </cell>
          <cell r="BA83">
            <v>1718.4</v>
          </cell>
          <cell r="BB83">
            <v>1718.3994140625</v>
          </cell>
          <cell r="BC83" t="str">
            <v>Непосредственное</v>
          </cell>
          <cell r="BD83" t="str">
            <v>1. Жилой дом</v>
          </cell>
          <cell r="BE83">
            <v>63.75</v>
          </cell>
          <cell r="BF83" t="str">
            <v>2.Чёрный</v>
          </cell>
          <cell r="BG83">
            <v>63.75</v>
          </cell>
          <cell r="BH83" t="str">
            <v>1.АОГВ</v>
          </cell>
          <cell r="BI83">
            <v>63.75</v>
          </cell>
          <cell r="BJ83" t="str">
            <v>1. Чугун</v>
          </cell>
          <cell r="BK83">
            <v>63.75</v>
          </cell>
          <cell r="BL83" t="str">
            <v>2.Кирпич</v>
          </cell>
          <cell r="BM83">
            <v>21916</v>
          </cell>
          <cell r="BN83">
            <v>21916</v>
          </cell>
          <cell r="BO83" t="str">
            <v>Не оборудован</v>
          </cell>
          <cell r="BP83" t="str">
            <v>8.Профнастил</v>
          </cell>
          <cell r="BQ83" t="str">
            <v>1.Скатная</v>
          </cell>
          <cell r="BR83">
            <v>400</v>
          </cell>
          <cell r="BS83">
            <v>0</v>
          </cell>
          <cell r="BT83">
            <v>0</v>
          </cell>
          <cell r="BU83">
            <v>204</v>
          </cell>
          <cell r="BV83">
            <v>204</v>
          </cell>
          <cell r="BW83" t="str">
            <v>3.Частный жилищный фонд</v>
          </cell>
          <cell r="BX83">
            <v>8</v>
          </cell>
          <cell r="BY83">
            <v>0</v>
          </cell>
          <cell r="BZ83" t="str">
            <v>3-я</v>
          </cell>
          <cell r="CA83">
            <v>1</v>
          </cell>
          <cell r="CB83">
            <v>27.01</v>
          </cell>
          <cell r="CC83">
            <v>1</v>
          </cell>
          <cell r="CD83">
            <v>1</v>
          </cell>
          <cell r="CE83">
            <v>1</v>
          </cell>
          <cell r="CF83" t="str">
            <v>ООО "Дёма Комфорт"</v>
          </cell>
          <cell r="CG83">
            <v>5</v>
          </cell>
          <cell r="CH83">
            <v>3</v>
          </cell>
          <cell r="CI83">
            <v>3</v>
          </cell>
          <cell r="CJ83">
            <v>3</v>
          </cell>
          <cell r="CK83">
            <v>0</v>
          </cell>
          <cell r="CL83">
            <v>0</v>
          </cell>
          <cell r="CM83">
            <v>15</v>
          </cell>
          <cell r="CN83">
            <v>35.9</v>
          </cell>
          <cell r="CO83">
            <v>0</v>
          </cell>
          <cell r="CP83">
            <v>239.9</v>
          </cell>
          <cell r="CQ83">
            <v>239.89990234375</v>
          </cell>
          <cell r="CR83">
            <v>239.89990234375</v>
          </cell>
          <cell r="CS83">
            <v>1</v>
          </cell>
          <cell r="CT83">
            <v>8</v>
          </cell>
          <cell r="CU83">
            <v>0</v>
          </cell>
          <cell r="CV83">
            <v>0</v>
          </cell>
          <cell r="CW83">
            <v>0</v>
          </cell>
          <cell r="CX83">
            <v>1</v>
          </cell>
          <cell r="CY83">
            <v>1</v>
          </cell>
          <cell r="CZ83">
            <v>1886</v>
          </cell>
          <cell r="DA83" t="str">
            <v>Демский</v>
          </cell>
          <cell r="DB83" t="str">
            <v>2.Деревянные</v>
          </cell>
          <cell r="DC83">
            <v>1886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722133</v>
          </cell>
          <cell r="DN83">
            <v>0</v>
          </cell>
          <cell r="DO83">
            <v>0</v>
          </cell>
          <cell r="DP83" t="str">
            <v>УЖХ</v>
          </cell>
          <cell r="DQ83">
            <v>35522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1718.4</v>
          </cell>
          <cell r="EJ83">
            <v>130</v>
          </cell>
          <cell r="EK83">
            <v>216.4</v>
          </cell>
          <cell r="EL83">
            <v>32</v>
          </cell>
          <cell r="EM83">
            <v>46.8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80</v>
          </cell>
          <cell r="FB83">
            <v>1</v>
          </cell>
          <cell r="FC83">
            <v>1</v>
          </cell>
          <cell r="FD83">
            <v>0</v>
          </cell>
          <cell r="FE83">
            <v>0</v>
          </cell>
          <cell r="FF83">
            <v>15.21</v>
          </cell>
          <cell r="FG83">
            <v>15.209999084472656</v>
          </cell>
          <cell r="FH83" t="str">
            <v>С УЛК (ЖЭУ)</v>
          </cell>
          <cell r="FI83">
            <v>43647</v>
          </cell>
          <cell r="FJ83">
            <v>43647</v>
          </cell>
          <cell r="FK83">
            <v>43647</v>
          </cell>
          <cell r="FL83">
            <v>482.5</v>
          </cell>
          <cell r="FM83">
            <v>78.92</v>
          </cell>
          <cell r="FN83">
            <v>847.44</v>
          </cell>
          <cell r="FO83">
            <v>2542.3200000000002</v>
          </cell>
        </row>
        <row r="84">
          <cell r="AI84" t="str">
            <v>Ул. Ухтомского дом 30/2</v>
          </cell>
          <cell r="AJ84">
            <v>2542.318359375</v>
          </cell>
          <cell r="AK84">
            <v>5234.7</v>
          </cell>
          <cell r="AL84">
            <v>2692.3</v>
          </cell>
          <cell r="AM84">
            <v>2</v>
          </cell>
          <cell r="AN84">
            <v>2</v>
          </cell>
          <cell r="AO84" t="str">
            <v>АО УЖХ Демского района</v>
          </cell>
          <cell r="AP84">
            <v>5234.7</v>
          </cell>
          <cell r="AQ84">
            <v>0</v>
          </cell>
          <cell r="AR84">
            <v>328.9</v>
          </cell>
          <cell r="AS84">
            <v>1155.7</v>
          </cell>
          <cell r="AT84">
            <v>113</v>
          </cell>
          <cell r="AU84">
            <v>12</v>
          </cell>
          <cell r="AV84">
            <v>194</v>
          </cell>
          <cell r="AW84">
            <v>194</v>
          </cell>
          <cell r="AX84" t="str">
            <v>отказ от услуги</v>
          </cell>
          <cell r="AY84">
            <v>157.80000000000001</v>
          </cell>
          <cell r="AZ84">
            <v>2938.9</v>
          </cell>
          <cell r="BA84">
            <v>2862</v>
          </cell>
          <cell r="BB84">
            <v>2862</v>
          </cell>
          <cell r="BC84" t="str">
            <v>Управляющая компания</v>
          </cell>
          <cell r="BD84" t="str">
            <v>1. Жилой дом</v>
          </cell>
          <cell r="BE84">
            <v>9.6199999999999992</v>
          </cell>
          <cell r="BF84" t="str">
            <v>2.Чёрный</v>
          </cell>
          <cell r="BG84" t="str">
            <v>2.Чёрный</v>
          </cell>
          <cell r="BH84" t="str">
            <v>3.Водяной</v>
          </cell>
          <cell r="BI84" t="str">
            <v>МУП УИС</v>
          </cell>
          <cell r="BJ84" t="str">
            <v>2. ПВХ</v>
          </cell>
          <cell r="BK84">
            <v>4</v>
          </cell>
          <cell r="BL84" t="str">
            <v>18.Сборные ж/б+утеплит.+кирпич</v>
          </cell>
          <cell r="BM84">
            <v>40179</v>
          </cell>
          <cell r="BN84">
            <v>40179</v>
          </cell>
          <cell r="BO84" t="str">
            <v>Оборудован</v>
          </cell>
          <cell r="BP84" t="str">
            <v>4.Мягк/рулонная</v>
          </cell>
          <cell r="BQ84" t="str">
            <v>2.Плоская</v>
          </cell>
          <cell r="BR84">
            <v>858</v>
          </cell>
          <cell r="BS84">
            <v>667.5</v>
          </cell>
          <cell r="BT84">
            <v>667.5</v>
          </cell>
          <cell r="BU84">
            <v>667.5</v>
          </cell>
          <cell r="BV84">
            <v>667.5</v>
          </cell>
          <cell r="BW84" t="str">
            <v>3.Частный жилищный фонд</v>
          </cell>
          <cell r="BX84">
            <v>667.5</v>
          </cell>
          <cell r="BY84">
            <v>113</v>
          </cell>
          <cell r="BZ84" t="str">
            <v>1-я</v>
          </cell>
          <cell r="CA84">
            <v>1</v>
          </cell>
          <cell r="CB84">
            <v>27.01</v>
          </cell>
          <cell r="CC84">
            <v>27.009994506835938</v>
          </cell>
          <cell r="CD84">
            <v>5234.7</v>
          </cell>
          <cell r="CE84">
            <v>5234.69921875</v>
          </cell>
          <cell r="CF84" t="str">
            <v>ООО "Дёма Комфорт"</v>
          </cell>
          <cell r="CG84">
            <v>113</v>
          </cell>
          <cell r="CH84">
            <v>0</v>
          </cell>
          <cell r="CI84">
            <v>0</v>
          </cell>
          <cell r="CJ84" t="str">
            <v>имеется, работает</v>
          </cell>
          <cell r="CK84">
            <v>0</v>
          </cell>
          <cell r="CL84">
            <v>1</v>
          </cell>
          <cell r="CM84">
            <v>113</v>
          </cell>
          <cell r="CN84">
            <v>1484.6</v>
          </cell>
          <cell r="CO84">
            <v>1484.6</v>
          </cell>
          <cell r="CP84">
            <v>2152.1</v>
          </cell>
          <cell r="CQ84">
            <v>2152.099609375</v>
          </cell>
          <cell r="CR84">
            <v>2152.099609375</v>
          </cell>
          <cell r="CS84">
            <v>2</v>
          </cell>
          <cell r="CT84">
            <v>113</v>
          </cell>
          <cell r="CU84">
            <v>113</v>
          </cell>
          <cell r="CV84">
            <v>99</v>
          </cell>
          <cell r="CW84">
            <v>75</v>
          </cell>
          <cell r="CX84">
            <v>2</v>
          </cell>
          <cell r="CY84">
            <v>145.19999999999999</v>
          </cell>
          <cell r="CZ84">
            <v>27549</v>
          </cell>
          <cell r="DA84" t="str">
            <v>Демский</v>
          </cell>
          <cell r="DB84" t="str">
            <v>3.Сборные ж/б панели</v>
          </cell>
          <cell r="DC84">
            <v>27549</v>
          </cell>
          <cell r="DD84">
            <v>1</v>
          </cell>
          <cell r="DE84">
            <v>13730</v>
          </cell>
          <cell r="DF84" t="str">
            <v>Пластинчатый</v>
          </cell>
          <cell r="DG84" t="str">
            <v>ГВС и ЦО</v>
          </cell>
          <cell r="DH84" t="str">
            <v>АНО ЦЭС ЮГ</v>
          </cell>
          <cell r="DI84">
            <v>1</v>
          </cell>
          <cell r="DJ84" t="str">
            <v>АО УЖХ Демского района</v>
          </cell>
          <cell r="DK84">
            <v>1</v>
          </cell>
          <cell r="DL84">
            <v>1</v>
          </cell>
          <cell r="DM84">
            <v>25095567</v>
          </cell>
          <cell r="DN84">
            <v>2</v>
          </cell>
          <cell r="DO84" t="str">
            <v>ГВС</v>
          </cell>
          <cell r="DP84" t="str">
            <v>УЖХ</v>
          </cell>
          <cell r="DQ84">
            <v>40385</v>
          </cell>
          <cell r="DR84">
            <v>0</v>
          </cell>
          <cell r="DS84">
            <v>113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 t="str">
            <v>4. Независимая схема</v>
          </cell>
          <cell r="EE84" t="str">
            <v>Верхний</v>
          </cell>
          <cell r="EF84">
            <v>0</v>
          </cell>
          <cell r="EG84">
            <v>0</v>
          </cell>
          <cell r="EH84">
            <v>0</v>
          </cell>
          <cell r="EI84">
            <v>962</v>
          </cell>
          <cell r="EJ84">
            <v>793</v>
          </cell>
          <cell r="EK84">
            <v>1250</v>
          </cell>
          <cell r="EL84">
            <v>527.29999999999995</v>
          </cell>
          <cell r="EM84">
            <v>290.60000000000002</v>
          </cell>
          <cell r="EN84">
            <v>3</v>
          </cell>
          <cell r="EO84">
            <v>3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1900</v>
          </cell>
          <cell r="EV84">
            <v>1</v>
          </cell>
          <cell r="EW84">
            <v>8</v>
          </cell>
          <cell r="EX84">
            <v>1</v>
          </cell>
          <cell r="EY84">
            <v>1</v>
          </cell>
          <cell r="EZ84">
            <v>0</v>
          </cell>
          <cell r="FA84">
            <v>70</v>
          </cell>
          <cell r="FB84">
            <v>1</v>
          </cell>
          <cell r="FC84">
            <v>1</v>
          </cell>
          <cell r="FD84">
            <v>0</v>
          </cell>
          <cell r="FE84">
            <v>0</v>
          </cell>
          <cell r="FF84">
            <v>18.100000000000001</v>
          </cell>
          <cell r="FG84">
            <v>2</v>
          </cell>
          <cell r="FH84">
            <v>2</v>
          </cell>
          <cell r="FI84">
            <v>43739</v>
          </cell>
          <cell r="FJ84">
            <v>15477</v>
          </cell>
          <cell r="FK84">
            <v>15477</v>
          </cell>
          <cell r="FL84">
            <v>7689.8</v>
          </cell>
          <cell r="FM84">
            <v>78.92</v>
          </cell>
          <cell r="FN84">
            <v>3052.13</v>
          </cell>
          <cell r="FO84">
            <v>3052.13</v>
          </cell>
        </row>
        <row r="85">
          <cell r="AI85" t="str">
            <v>Ул. Центральная дом 18/1</v>
          </cell>
          <cell r="AJ85">
            <v>3052.12890625</v>
          </cell>
          <cell r="AK85">
            <v>1737.2</v>
          </cell>
          <cell r="AL85">
            <v>960.2</v>
          </cell>
          <cell r="AM85">
            <v>2</v>
          </cell>
          <cell r="AN85">
            <v>2</v>
          </cell>
          <cell r="AO85" t="str">
            <v>АО УЖХ Демского района</v>
          </cell>
          <cell r="AP85">
            <v>1737.4</v>
          </cell>
          <cell r="AQ85">
            <v>0</v>
          </cell>
          <cell r="AR85">
            <v>158.4</v>
          </cell>
          <cell r="AS85">
            <v>5.9</v>
          </cell>
          <cell r="AT85">
            <v>39</v>
          </cell>
          <cell r="AU85">
            <v>5</v>
          </cell>
          <cell r="AV85">
            <v>78</v>
          </cell>
          <cell r="AW85">
            <v>0</v>
          </cell>
          <cell r="AX85">
            <v>0</v>
          </cell>
          <cell r="AY85">
            <v>37.9</v>
          </cell>
          <cell r="AZ85">
            <v>1202</v>
          </cell>
          <cell r="BA85">
            <v>897.2</v>
          </cell>
          <cell r="BB85">
            <v>897.19970703125</v>
          </cell>
          <cell r="BC85" t="str">
            <v>Управляющая компания</v>
          </cell>
          <cell r="BD85" t="str">
            <v>1. Жилой дом</v>
          </cell>
          <cell r="BE85">
            <v>13.82</v>
          </cell>
          <cell r="BF85" t="str">
            <v>2.Чёрный</v>
          </cell>
          <cell r="BG85" t="str">
            <v>2.Чёрный</v>
          </cell>
          <cell r="BH85" t="str">
            <v>3.Водяной</v>
          </cell>
          <cell r="BI85" t="str">
            <v>МУП УИС</v>
          </cell>
          <cell r="BJ85" t="str">
            <v>2. ПВХ</v>
          </cell>
          <cell r="BK85">
            <v>13.819999694824219</v>
          </cell>
          <cell r="BL85" t="str">
            <v>2.Кирпич</v>
          </cell>
          <cell r="BM85">
            <v>37987</v>
          </cell>
          <cell r="BN85">
            <v>37987</v>
          </cell>
          <cell r="BO85" t="str">
            <v>Оборудован</v>
          </cell>
          <cell r="BP85" t="str">
            <v>8.Профнастил</v>
          </cell>
          <cell r="BQ85" t="str">
            <v>1.Скатная</v>
          </cell>
          <cell r="BR85">
            <v>670</v>
          </cell>
          <cell r="BS85">
            <v>174.2</v>
          </cell>
          <cell r="BT85">
            <v>174.199951171875</v>
          </cell>
          <cell r="BU85">
            <v>174.199951171875</v>
          </cell>
          <cell r="BV85">
            <v>174.199951171875</v>
          </cell>
          <cell r="BW85" t="str">
            <v>3.Частный жилищный фонд</v>
          </cell>
          <cell r="BX85">
            <v>39</v>
          </cell>
          <cell r="BY85">
            <v>39</v>
          </cell>
          <cell r="BZ85" t="str">
            <v>1-я</v>
          </cell>
          <cell r="CA85">
            <v>1</v>
          </cell>
          <cell r="CB85">
            <v>27.01</v>
          </cell>
          <cell r="CC85">
            <v>27.009994506835938</v>
          </cell>
          <cell r="CD85">
            <v>1737.4</v>
          </cell>
          <cell r="CE85">
            <v>1737.3994140625</v>
          </cell>
          <cell r="CF85" t="str">
            <v>ООО "Гранд"</v>
          </cell>
          <cell r="CG85">
            <v>39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1</v>
          </cell>
          <cell r="CM85">
            <v>39</v>
          </cell>
          <cell r="CN85">
            <v>164.3</v>
          </cell>
          <cell r="CO85">
            <v>164.3</v>
          </cell>
          <cell r="CP85">
            <v>338.5</v>
          </cell>
          <cell r="CQ85">
            <v>338.5</v>
          </cell>
          <cell r="CR85">
            <v>338.5</v>
          </cell>
          <cell r="CS85">
            <v>1</v>
          </cell>
          <cell r="CT85">
            <v>39</v>
          </cell>
          <cell r="CU85">
            <v>39</v>
          </cell>
          <cell r="CV85">
            <v>38</v>
          </cell>
          <cell r="CW85">
            <v>28</v>
          </cell>
          <cell r="CX85">
            <v>1</v>
          </cell>
          <cell r="CY85">
            <v>1</v>
          </cell>
          <cell r="CZ85">
            <v>7933</v>
          </cell>
          <cell r="DA85" t="str">
            <v>Демский</v>
          </cell>
          <cell r="DB85" t="str">
            <v>3.Сборные ж/б панели</v>
          </cell>
          <cell r="DC85">
            <v>7933</v>
          </cell>
          <cell r="DD85">
            <v>1</v>
          </cell>
          <cell r="DE85">
            <v>13367</v>
          </cell>
          <cell r="DF85" t="str">
            <v>Пластинчатый</v>
          </cell>
          <cell r="DG85" t="str">
            <v>ГВС</v>
          </cell>
          <cell r="DH85" t="str">
            <v>АНО ЦЭС ЮГ</v>
          </cell>
          <cell r="DI85">
            <v>1</v>
          </cell>
          <cell r="DJ85">
            <v>1</v>
          </cell>
          <cell r="DK85">
            <v>1</v>
          </cell>
          <cell r="DL85">
            <v>1</v>
          </cell>
          <cell r="DM85">
            <v>1</v>
          </cell>
          <cell r="DN85">
            <v>1</v>
          </cell>
          <cell r="DO85" t="str">
            <v>ГВС</v>
          </cell>
          <cell r="DP85" t="str">
            <v>УЖХ</v>
          </cell>
          <cell r="DQ85">
            <v>38371</v>
          </cell>
          <cell r="DR85">
            <v>0</v>
          </cell>
          <cell r="DS85">
            <v>0</v>
          </cell>
          <cell r="DT85">
            <v>39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 t="str">
            <v>3.Зависимая схема</v>
          </cell>
          <cell r="EE85" t="str">
            <v>Нижний</v>
          </cell>
          <cell r="EF85">
            <v>0</v>
          </cell>
          <cell r="EG85">
            <v>0</v>
          </cell>
          <cell r="EH85">
            <v>0</v>
          </cell>
          <cell r="EI85">
            <v>897.2</v>
          </cell>
          <cell r="EJ85">
            <v>388</v>
          </cell>
          <cell r="EK85">
            <v>721</v>
          </cell>
          <cell r="EL85">
            <v>0</v>
          </cell>
          <cell r="EM85">
            <v>85</v>
          </cell>
          <cell r="EN85">
            <v>2</v>
          </cell>
          <cell r="EO85">
            <v>2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8</v>
          </cell>
          <cell r="EX85">
            <v>1</v>
          </cell>
          <cell r="EY85">
            <v>1</v>
          </cell>
          <cell r="EZ85">
            <v>0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14.06</v>
          </cell>
          <cell r="FG85">
            <v>14.05999755859375</v>
          </cell>
          <cell r="FH85">
            <v>14.05999755859375</v>
          </cell>
          <cell r="FI85">
            <v>43886</v>
          </cell>
          <cell r="FJ85">
            <v>15477</v>
          </cell>
          <cell r="FK85">
            <v>15477</v>
          </cell>
          <cell r="FL85">
            <v>2113.6</v>
          </cell>
          <cell r="FM85">
            <v>78.92</v>
          </cell>
          <cell r="FN85">
            <v>1053.3900000000001</v>
          </cell>
          <cell r="FO85">
            <v>3160.17</v>
          </cell>
        </row>
        <row r="86">
          <cell r="AI86" t="str">
            <v>Ул. Островского дом 16/1</v>
          </cell>
          <cell r="AJ86">
            <v>3160.169921875</v>
          </cell>
          <cell r="AK86">
            <v>11173.2</v>
          </cell>
          <cell r="AL86">
            <v>7550</v>
          </cell>
          <cell r="AM86">
            <v>6</v>
          </cell>
          <cell r="AN86">
            <v>6</v>
          </cell>
          <cell r="AO86" t="str">
            <v>АО УЖХ Демского района</v>
          </cell>
          <cell r="AP86">
            <v>10879.3</v>
          </cell>
          <cell r="AQ86">
            <v>295.89999999999998</v>
          </cell>
          <cell r="AR86">
            <v>931.2</v>
          </cell>
          <cell r="AS86">
            <v>820.8</v>
          </cell>
          <cell r="AT86">
            <v>217</v>
          </cell>
          <cell r="AU86">
            <v>9</v>
          </cell>
          <cell r="AV86">
            <v>567</v>
          </cell>
          <cell r="AW86">
            <v>567</v>
          </cell>
          <cell r="AX86" t="str">
            <v>отказ от услуги</v>
          </cell>
          <cell r="AY86">
            <v>567</v>
          </cell>
          <cell r="AZ86">
            <v>2353.3000000000002</v>
          </cell>
          <cell r="BA86">
            <v>4900.6000000000004</v>
          </cell>
          <cell r="BB86">
            <v>4900.59765625</v>
          </cell>
          <cell r="BC86" t="str">
            <v>Управляющая компания</v>
          </cell>
          <cell r="BD86" t="str">
            <v>1. Жилой дом</v>
          </cell>
          <cell r="BE86">
            <v>31.8</v>
          </cell>
          <cell r="BF86" t="str">
            <v>2.Чёрный</v>
          </cell>
          <cell r="BG86" t="str">
            <v>2.Чёрный</v>
          </cell>
          <cell r="BH86" t="str">
            <v>3.Водяной</v>
          </cell>
          <cell r="BI86" t="str">
            <v>МУП УИС</v>
          </cell>
          <cell r="BJ86" t="str">
            <v>1. Чугун</v>
          </cell>
          <cell r="BK86">
            <v>6</v>
          </cell>
          <cell r="BL86" t="str">
            <v>8.Сборные ж/б</v>
          </cell>
          <cell r="BM86">
            <v>30682</v>
          </cell>
          <cell r="BN86">
            <v>30682</v>
          </cell>
          <cell r="BO86" t="str">
            <v>Оборудован</v>
          </cell>
          <cell r="BP86" t="str">
            <v>4.Мягк/рулонная</v>
          </cell>
          <cell r="BQ86" t="str">
            <v>2.Плоская</v>
          </cell>
          <cell r="BR86">
            <v>2027</v>
          </cell>
          <cell r="BS86">
            <v>1393</v>
          </cell>
          <cell r="BT86">
            <v>1393</v>
          </cell>
          <cell r="BU86">
            <v>1393</v>
          </cell>
          <cell r="BV86">
            <v>0</v>
          </cell>
          <cell r="BW86" t="str">
            <v>3.Частный жилищный фонд</v>
          </cell>
          <cell r="BX86">
            <v>217</v>
          </cell>
          <cell r="BY86">
            <v>0</v>
          </cell>
          <cell r="BZ86" t="str">
            <v>2-я</v>
          </cell>
          <cell r="CA86">
            <v>1</v>
          </cell>
          <cell r="CB86">
            <v>27.01</v>
          </cell>
          <cell r="CC86">
            <v>27.009994506835938</v>
          </cell>
          <cell r="CD86">
            <v>11175.2</v>
          </cell>
          <cell r="CE86">
            <v>11175.1953125</v>
          </cell>
          <cell r="CF86" t="str">
            <v>ООО "Дёма Комфорт"</v>
          </cell>
          <cell r="CG86">
            <v>211</v>
          </cell>
          <cell r="CH86">
            <v>6</v>
          </cell>
          <cell r="CI86">
            <v>6</v>
          </cell>
          <cell r="CJ86">
            <v>6</v>
          </cell>
          <cell r="CK86">
            <v>0</v>
          </cell>
          <cell r="CL86">
            <v>1</v>
          </cell>
          <cell r="CM86">
            <v>217</v>
          </cell>
          <cell r="CN86">
            <v>1752</v>
          </cell>
          <cell r="CO86">
            <v>1752</v>
          </cell>
          <cell r="CP86">
            <v>3145</v>
          </cell>
          <cell r="CQ86">
            <v>3145</v>
          </cell>
          <cell r="CR86">
            <v>3145</v>
          </cell>
          <cell r="CS86">
            <v>2</v>
          </cell>
          <cell r="CT86">
            <v>217</v>
          </cell>
          <cell r="CU86">
            <v>0</v>
          </cell>
          <cell r="CV86">
            <v>182</v>
          </cell>
          <cell r="CW86">
            <v>212</v>
          </cell>
          <cell r="CX86">
            <v>2</v>
          </cell>
          <cell r="CY86">
            <v>2</v>
          </cell>
          <cell r="CZ86">
            <v>51493</v>
          </cell>
          <cell r="DA86" t="str">
            <v>Демский</v>
          </cell>
          <cell r="DB86" t="str">
            <v>3.Сборные ж/б панели</v>
          </cell>
          <cell r="DC86">
            <v>51493</v>
          </cell>
          <cell r="DD86">
            <v>51493</v>
          </cell>
          <cell r="DE86">
            <v>51493</v>
          </cell>
          <cell r="DF86">
            <v>51493</v>
          </cell>
          <cell r="DG86">
            <v>51493</v>
          </cell>
          <cell r="DH86">
            <v>51493</v>
          </cell>
          <cell r="DI86">
            <v>51493</v>
          </cell>
          <cell r="DJ86" t="str">
            <v>АО УЖХ Демского района</v>
          </cell>
          <cell r="DK86">
            <v>51493</v>
          </cell>
          <cell r="DL86">
            <v>51493</v>
          </cell>
          <cell r="DM86">
            <v>26308401</v>
          </cell>
          <cell r="DN86">
            <v>4</v>
          </cell>
          <cell r="DO86" t="str">
            <v>ГВС</v>
          </cell>
          <cell r="DP86" t="str">
            <v>УЖХ</v>
          </cell>
          <cell r="DQ86">
            <v>39199</v>
          </cell>
          <cell r="DR86">
            <v>0</v>
          </cell>
          <cell r="DS86">
            <v>0</v>
          </cell>
          <cell r="DT86">
            <v>217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 t="str">
            <v>4. Независимая схема</v>
          </cell>
          <cell r="EE86" t="str">
            <v>Нижний</v>
          </cell>
          <cell r="EF86">
            <v>0</v>
          </cell>
          <cell r="EG86">
            <v>0</v>
          </cell>
          <cell r="EH86">
            <v>480</v>
          </cell>
          <cell r="EI86">
            <v>4420.6000000000004</v>
          </cell>
          <cell r="EJ86">
            <v>131.5</v>
          </cell>
          <cell r="EK86">
            <v>978.5</v>
          </cell>
          <cell r="EL86">
            <v>612</v>
          </cell>
          <cell r="EM86">
            <v>530.79999999999995</v>
          </cell>
          <cell r="EN86">
            <v>3</v>
          </cell>
          <cell r="EO86">
            <v>3</v>
          </cell>
          <cell r="EP86">
            <v>0</v>
          </cell>
          <cell r="EQ86">
            <v>0</v>
          </cell>
          <cell r="ER86">
            <v>0</v>
          </cell>
          <cell r="ES86">
            <v>0</v>
          </cell>
          <cell r="ET86">
            <v>0</v>
          </cell>
          <cell r="EU86">
            <v>0</v>
          </cell>
          <cell r="EV86">
            <v>0</v>
          </cell>
          <cell r="EW86">
            <v>18</v>
          </cell>
          <cell r="EX86">
            <v>1</v>
          </cell>
          <cell r="EY86">
            <v>1</v>
          </cell>
          <cell r="EZ86">
            <v>0</v>
          </cell>
          <cell r="FA86">
            <v>82.5</v>
          </cell>
          <cell r="FB86">
            <v>1</v>
          </cell>
          <cell r="FC86">
            <v>1</v>
          </cell>
          <cell r="FD86">
            <v>0</v>
          </cell>
          <cell r="FE86">
            <v>0</v>
          </cell>
          <cell r="FF86">
            <v>16.32</v>
          </cell>
          <cell r="FG86">
            <v>2</v>
          </cell>
          <cell r="FH86">
            <v>2</v>
          </cell>
          <cell r="FI86">
            <v>43466</v>
          </cell>
          <cell r="FJ86">
            <v>15477</v>
          </cell>
          <cell r="FK86">
            <v>15477</v>
          </cell>
          <cell r="FL86">
            <v>14318.2</v>
          </cell>
          <cell r="FM86">
            <v>78.92</v>
          </cell>
          <cell r="FN86">
            <v>5861.17</v>
          </cell>
          <cell r="FO86">
            <v>17583.510000000002</v>
          </cell>
        </row>
        <row r="87">
          <cell r="AI87" t="str">
            <v>Ул. Островского дом 18/1</v>
          </cell>
          <cell r="AJ87">
            <v>17583.5</v>
          </cell>
          <cell r="AK87">
            <v>5725.8</v>
          </cell>
          <cell r="AL87">
            <v>3839.4</v>
          </cell>
          <cell r="AM87">
            <v>3</v>
          </cell>
          <cell r="AN87">
            <v>3</v>
          </cell>
          <cell r="AO87" t="str">
            <v>АО УЖХ Демского района</v>
          </cell>
          <cell r="AP87">
            <v>5475.4</v>
          </cell>
          <cell r="AQ87">
            <v>250.8</v>
          </cell>
          <cell r="AR87">
            <v>513.5</v>
          </cell>
          <cell r="AS87">
            <v>412.5</v>
          </cell>
          <cell r="AT87">
            <v>108</v>
          </cell>
          <cell r="AU87">
            <v>9</v>
          </cell>
          <cell r="AV87">
            <v>320</v>
          </cell>
          <cell r="AW87">
            <v>0</v>
          </cell>
          <cell r="AX87" t="str">
            <v>отказ от услуги</v>
          </cell>
          <cell r="AY87">
            <v>0</v>
          </cell>
          <cell r="AZ87">
            <v>1951</v>
          </cell>
          <cell r="BA87">
            <v>4039.3</v>
          </cell>
          <cell r="BB87">
            <v>4039.298828125</v>
          </cell>
          <cell r="BC87" t="str">
            <v>Управляющая компания</v>
          </cell>
          <cell r="BD87" t="str">
            <v>1. Жилой дом</v>
          </cell>
          <cell r="BE87">
            <v>30.2</v>
          </cell>
          <cell r="BF87" t="str">
            <v>2.Чёрный</v>
          </cell>
          <cell r="BG87" t="str">
            <v>2.Чёрный</v>
          </cell>
          <cell r="BH87" t="str">
            <v>3.Водяной</v>
          </cell>
          <cell r="BI87" t="str">
            <v>МУП УИС</v>
          </cell>
          <cell r="BJ87" t="str">
            <v>1. Чугун</v>
          </cell>
          <cell r="BK87">
            <v>3</v>
          </cell>
          <cell r="BL87" t="str">
            <v>8.Сборные ж/б</v>
          </cell>
          <cell r="BM87">
            <v>31413</v>
          </cell>
          <cell r="BN87">
            <v>31413</v>
          </cell>
          <cell r="BO87" t="str">
            <v>Оборудован</v>
          </cell>
          <cell r="BP87" t="str">
            <v>4.Мягк/рулонная</v>
          </cell>
          <cell r="BQ87" t="str">
            <v>2.Плоская</v>
          </cell>
          <cell r="BR87">
            <v>1052</v>
          </cell>
          <cell r="BS87">
            <v>879</v>
          </cell>
          <cell r="BT87">
            <v>879</v>
          </cell>
          <cell r="BU87">
            <v>879</v>
          </cell>
          <cell r="BV87">
            <v>0</v>
          </cell>
          <cell r="BW87" t="str">
            <v>3.Частный жилищный фонд</v>
          </cell>
          <cell r="BX87">
            <v>108</v>
          </cell>
          <cell r="BY87">
            <v>0</v>
          </cell>
          <cell r="BZ87" t="str">
            <v>2-я</v>
          </cell>
          <cell r="CA87">
            <v>1</v>
          </cell>
          <cell r="CB87">
            <v>27.01</v>
          </cell>
          <cell r="CC87">
            <v>27.009994506835938</v>
          </cell>
          <cell r="CD87">
            <v>5726.2</v>
          </cell>
          <cell r="CE87">
            <v>5726.19921875</v>
          </cell>
          <cell r="CF87" t="str">
            <v>ООО "Дёма Комфорт"</v>
          </cell>
          <cell r="CG87">
            <v>103</v>
          </cell>
          <cell r="CH87">
            <v>5</v>
          </cell>
          <cell r="CI87">
            <v>5</v>
          </cell>
          <cell r="CJ87">
            <v>5</v>
          </cell>
          <cell r="CK87">
            <v>0</v>
          </cell>
          <cell r="CL87">
            <v>1</v>
          </cell>
          <cell r="CM87">
            <v>108</v>
          </cell>
          <cell r="CN87">
            <v>926</v>
          </cell>
          <cell r="CO87">
            <v>926</v>
          </cell>
          <cell r="CP87">
            <v>1805</v>
          </cell>
          <cell r="CQ87">
            <v>1805</v>
          </cell>
          <cell r="CR87">
            <v>1805</v>
          </cell>
          <cell r="CS87">
            <v>1</v>
          </cell>
          <cell r="CT87">
            <v>108</v>
          </cell>
          <cell r="CU87">
            <v>0</v>
          </cell>
          <cell r="CV87">
            <v>91</v>
          </cell>
          <cell r="CW87">
            <v>94</v>
          </cell>
          <cell r="CX87">
            <v>1</v>
          </cell>
          <cell r="CY87">
            <v>1</v>
          </cell>
          <cell r="CZ87">
            <v>24090</v>
          </cell>
          <cell r="DA87" t="str">
            <v>Демский</v>
          </cell>
          <cell r="DB87" t="str">
            <v>3.Сборные ж/б панели</v>
          </cell>
          <cell r="DC87">
            <v>24090</v>
          </cell>
          <cell r="DD87">
            <v>24090</v>
          </cell>
          <cell r="DE87">
            <v>24090</v>
          </cell>
          <cell r="DF87">
            <v>24090</v>
          </cell>
          <cell r="DG87">
            <v>24090</v>
          </cell>
          <cell r="DH87">
            <v>24090</v>
          </cell>
          <cell r="DI87">
            <v>24090</v>
          </cell>
          <cell r="DJ87" t="str">
            <v>АО УЖХ Демского района</v>
          </cell>
          <cell r="DK87">
            <v>24090</v>
          </cell>
          <cell r="DL87">
            <v>24090</v>
          </cell>
          <cell r="DM87">
            <v>12307668</v>
          </cell>
          <cell r="DN87">
            <v>3</v>
          </cell>
          <cell r="DO87" t="str">
            <v>ГВС</v>
          </cell>
          <cell r="DP87" t="str">
            <v>УЖХ</v>
          </cell>
          <cell r="DQ87">
            <v>39174</v>
          </cell>
          <cell r="DR87">
            <v>0</v>
          </cell>
          <cell r="DS87">
            <v>0</v>
          </cell>
          <cell r="DT87">
            <v>108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 t="str">
            <v>4. Независимая схема</v>
          </cell>
          <cell r="EE87" t="str">
            <v>Нижний</v>
          </cell>
          <cell r="EF87">
            <v>0</v>
          </cell>
          <cell r="EG87">
            <v>0</v>
          </cell>
          <cell r="EH87">
            <v>0</v>
          </cell>
          <cell r="EI87">
            <v>3705.3</v>
          </cell>
          <cell r="EJ87">
            <v>399.7</v>
          </cell>
          <cell r="EK87">
            <v>1150</v>
          </cell>
          <cell r="EL87">
            <v>100</v>
          </cell>
          <cell r="EM87">
            <v>171.4</v>
          </cell>
          <cell r="EN87">
            <v>4</v>
          </cell>
          <cell r="EO87">
            <v>4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334</v>
          </cell>
          <cell r="EV87">
            <v>1</v>
          </cell>
          <cell r="EW87">
            <v>23.3</v>
          </cell>
          <cell r="EX87">
            <v>1</v>
          </cell>
          <cell r="EY87">
            <v>1</v>
          </cell>
          <cell r="EZ87">
            <v>0</v>
          </cell>
          <cell r="FA87">
            <v>106.6</v>
          </cell>
          <cell r="FB87">
            <v>1</v>
          </cell>
          <cell r="FC87">
            <v>1</v>
          </cell>
          <cell r="FD87">
            <v>0</v>
          </cell>
          <cell r="FE87">
            <v>0</v>
          </cell>
          <cell r="FF87">
            <v>21.59</v>
          </cell>
          <cell r="FG87">
            <v>2</v>
          </cell>
          <cell r="FH87">
            <v>2</v>
          </cell>
          <cell r="FI87">
            <v>44713</v>
          </cell>
          <cell r="FJ87">
            <v>15477</v>
          </cell>
          <cell r="FK87">
            <v>15477</v>
          </cell>
          <cell r="FL87">
            <v>7530.8</v>
          </cell>
          <cell r="FM87">
            <v>78.92</v>
          </cell>
          <cell r="FN87">
            <v>2917.0800000000004</v>
          </cell>
          <cell r="FO87">
            <v>8751.2400000000016</v>
          </cell>
        </row>
        <row r="88">
          <cell r="AI88" t="str">
            <v>Ул. Мусы Джалиля дом 74</v>
          </cell>
          <cell r="AJ88" t="str">
            <v>2,3,4 п</v>
          </cell>
          <cell r="AK88">
            <v>7276.1</v>
          </cell>
          <cell r="AL88">
            <v>3751.9</v>
          </cell>
          <cell r="AM88">
            <v>3</v>
          </cell>
          <cell r="AN88">
            <v>3</v>
          </cell>
          <cell r="AO88" t="str">
            <v>АО УЖХ Демского района</v>
          </cell>
          <cell r="AP88">
            <v>7244.95</v>
          </cell>
          <cell r="AQ88">
            <v>31.15</v>
          </cell>
          <cell r="AR88">
            <v>372.9</v>
          </cell>
          <cell r="AS88">
            <v>961.6</v>
          </cell>
          <cell r="AT88">
            <v>158</v>
          </cell>
          <cell r="AU88">
            <v>10</v>
          </cell>
          <cell r="AV88">
            <v>337</v>
          </cell>
          <cell r="AW88">
            <v>337</v>
          </cell>
          <cell r="AX88" t="str">
            <v>отказ от услуги</v>
          </cell>
          <cell r="AY88">
            <v>465.7</v>
          </cell>
          <cell r="AZ88">
            <v>3095.1</v>
          </cell>
          <cell r="BA88">
            <v>6484.8</v>
          </cell>
          <cell r="BB88">
            <v>6484.796875</v>
          </cell>
          <cell r="BC88" t="str">
            <v>Управляющая компания</v>
          </cell>
          <cell r="BD88" t="str">
            <v>1. Жилой дом</v>
          </cell>
          <cell r="BE88">
            <v>14.13</v>
          </cell>
          <cell r="BF88" t="str">
            <v>1.Оцинкованный</v>
          </cell>
          <cell r="BG88" t="str">
            <v>1.Оцинкованный</v>
          </cell>
          <cell r="BH88" t="str">
            <v>3.Водяной</v>
          </cell>
          <cell r="BI88" t="str">
            <v>МУП УИС</v>
          </cell>
          <cell r="BJ88" t="str">
            <v>2. ПВХ</v>
          </cell>
          <cell r="BK88">
            <v>3</v>
          </cell>
          <cell r="BL88" t="str">
            <v>13.Сборные ж/б+кирпич</v>
          </cell>
          <cell r="BM88">
            <v>38749</v>
          </cell>
          <cell r="BN88">
            <v>38749</v>
          </cell>
          <cell r="BO88" t="str">
            <v>Оборудован</v>
          </cell>
          <cell r="BP88" t="str">
            <v>4.Мягк/рулонная</v>
          </cell>
          <cell r="BQ88" t="str">
            <v>2.Плоская</v>
          </cell>
          <cell r="BR88">
            <v>1481</v>
          </cell>
          <cell r="BS88">
            <v>1270</v>
          </cell>
          <cell r="BT88">
            <v>1270</v>
          </cell>
          <cell r="BU88">
            <v>1270</v>
          </cell>
          <cell r="BV88">
            <v>1270</v>
          </cell>
          <cell r="BW88" t="str">
            <v>3.Частный жилищный фонд</v>
          </cell>
          <cell r="BX88">
            <v>158</v>
          </cell>
          <cell r="BY88">
            <v>158</v>
          </cell>
          <cell r="BZ88" t="str">
            <v>2-я</v>
          </cell>
          <cell r="CA88">
            <v>1</v>
          </cell>
          <cell r="CB88">
            <v>27.01</v>
          </cell>
          <cell r="CC88">
            <v>27.009994506835938</v>
          </cell>
          <cell r="CD88">
            <v>7276.1</v>
          </cell>
          <cell r="CE88">
            <v>7276.09765625</v>
          </cell>
          <cell r="CF88" t="str">
            <v>ООО "Дёма Комфорт"</v>
          </cell>
          <cell r="CG88">
            <v>157</v>
          </cell>
          <cell r="CH88">
            <v>1</v>
          </cell>
          <cell r="CI88">
            <v>1</v>
          </cell>
          <cell r="CJ88" t="str">
            <v>имеется, работает</v>
          </cell>
          <cell r="CK88">
            <v>0</v>
          </cell>
          <cell r="CL88">
            <v>0.5</v>
          </cell>
          <cell r="CM88">
            <v>164</v>
          </cell>
          <cell r="CN88">
            <v>1334.5</v>
          </cell>
          <cell r="CO88">
            <v>1334.5</v>
          </cell>
          <cell r="CP88">
            <v>2604.5</v>
          </cell>
          <cell r="CQ88">
            <v>2604.5</v>
          </cell>
          <cell r="CR88">
            <v>2604.5</v>
          </cell>
          <cell r="CS88">
            <v>7</v>
          </cell>
          <cell r="CT88">
            <v>158</v>
          </cell>
          <cell r="CU88">
            <v>158</v>
          </cell>
          <cell r="CV88">
            <v>138</v>
          </cell>
          <cell r="CW88">
            <v>139</v>
          </cell>
          <cell r="CX88">
            <v>5</v>
          </cell>
          <cell r="CY88">
            <v>5</v>
          </cell>
          <cell r="CZ88">
            <v>32527</v>
          </cell>
          <cell r="DA88" t="str">
            <v>Демский</v>
          </cell>
          <cell r="DB88" t="str">
            <v>3.Сборные ж/б панели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 t="str">
            <v>АО УЖХ Демского района</v>
          </cell>
          <cell r="DK88">
            <v>0</v>
          </cell>
          <cell r="DL88">
            <v>0</v>
          </cell>
          <cell r="DM88">
            <v>12504604</v>
          </cell>
          <cell r="DN88">
            <v>3</v>
          </cell>
          <cell r="DO88" t="str">
            <v>ГВС</v>
          </cell>
          <cell r="DP88" t="str">
            <v>УЖХ</v>
          </cell>
          <cell r="DQ88">
            <v>40436</v>
          </cell>
          <cell r="DR88">
            <v>0</v>
          </cell>
          <cell r="DS88">
            <v>0</v>
          </cell>
          <cell r="DT88">
            <v>158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 t="str">
            <v>4. Независимая схема</v>
          </cell>
          <cell r="EE88" t="str">
            <v>Верхний</v>
          </cell>
          <cell r="EF88">
            <v>0</v>
          </cell>
          <cell r="EG88">
            <v>0</v>
          </cell>
          <cell r="EH88">
            <v>0</v>
          </cell>
          <cell r="EI88">
            <v>6229.8</v>
          </cell>
          <cell r="EJ88">
            <v>304.3</v>
          </cell>
          <cell r="EK88">
            <v>1805.5</v>
          </cell>
          <cell r="EL88">
            <v>432</v>
          </cell>
          <cell r="EM88">
            <v>430.8</v>
          </cell>
          <cell r="EN88">
            <v>5</v>
          </cell>
          <cell r="EO88">
            <v>5</v>
          </cell>
          <cell r="EP88">
            <v>0</v>
          </cell>
          <cell r="EQ88">
            <v>0</v>
          </cell>
          <cell r="ER88">
            <v>0</v>
          </cell>
          <cell r="ES88">
            <v>0</v>
          </cell>
          <cell r="ET88">
            <v>0</v>
          </cell>
          <cell r="EU88">
            <v>255</v>
          </cell>
          <cell r="EV88">
            <v>1</v>
          </cell>
          <cell r="EW88">
            <v>10.9</v>
          </cell>
          <cell r="EX88">
            <v>1</v>
          </cell>
          <cell r="EY88">
            <v>1</v>
          </cell>
          <cell r="EZ88">
            <v>0</v>
          </cell>
          <cell r="FA88">
            <v>111.6</v>
          </cell>
          <cell r="FB88">
            <v>1</v>
          </cell>
          <cell r="FC88">
            <v>1</v>
          </cell>
          <cell r="FD88">
            <v>0</v>
          </cell>
          <cell r="FE88">
            <v>0</v>
          </cell>
          <cell r="FF88">
            <v>21.59</v>
          </cell>
          <cell r="FG88">
            <v>2</v>
          </cell>
          <cell r="FH88">
            <v>2</v>
          </cell>
          <cell r="FI88">
            <v>44682</v>
          </cell>
          <cell r="FJ88">
            <v>15477</v>
          </cell>
          <cell r="FK88">
            <v>15477</v>
          </cell>
          <cell r="FL88">
            <v>10346.299999999999</v>
          </cell>
          <cell r="FM88">
            <v>78.92</v>
          </cell>
          <cell r="FN88">
            <v>4267.58</v>
          </cell>
          <cell r="FO88">
            <v>12802.74</v>
          </cell>
        </row>
        <row r="89">
          <cell r="AI89" t="str">
            <v>Ул. Грозненская дом 69/7</v>
          </cell>
          <cell r="AJ89" t="str">
            <v>А,Б</v>
          </cell>
          <cell r="AK89">
            <v>3472.7</v>
          </cell>
          <cell r="AL89">
            <v>1908.7</v>
          </cell>
          <cell r="AM89">
            <v>2</v>
          </cell>
          <cell r="AN89">
            <v>2</v>
          </cell>
          <cell r="AO89" t="str">
            <v>АО УЖХ Демского района</v>
          </cell>
          <cell r="AP89">
            <v>3472.7</v>
          </cell>
          <cell r="AQ89">
            <v>0</v>
          </cell>
          <cell r="AR89">
            <v>265.3</v>
          </cell>
          <cell r="AS89">
            <v>623.4</v>
          </cell>
          <cell r="AT89">
            <v>80</v>
          </cell>
          <cell r="AU89">
            <v>11</v>
          </cell>
          <cell r="AV89">
            <v>158</v>
          </cell>
          <cell r="AW89">
            <v>0</v>
          </cell>
          <cell r="AX89" t="str">
            <v>отказ от услуги</v>
          </cell>
          <cell r="AY89">
            <v>63.5</v>
          </cell>
          <cell r="AZ89">
            <v>5749.3</v>
          </cell>
          <cell r="BA89">
            <v>7557</v>
          </cell>
          <cell r="BB89">
            <v>7557</v>
          </cell>
          <cell r="BC89" t="str">
            <v>Управляющая компания</v>
          </cell>
          <cell r="BD89" t="str">
            <v>1. Жилой дом</v>
          </cell>
          <cell r="BE89">
            <v>8.92</v>
          </cell>
          <cell r="BF89" t="str">
            <v>2.Чёрный</v>
          </cell>
          <cell r="BG89" t="str">
            <v>2.Чёрный</v>
          </cell>
          <cell r="BH89" t="str">
            <v>3.Водяной</v>
          </cell>
          <cell r="BI89" t="str">
            <v>МУП УИС</v>
          </cell>
          <cell r="BJ89" t="str">
            <v>2. ПВХ</v>
          </cell>
          <cell r="BK89">
            <v>2</v>
          </cell>
          <cell r="BL89" t="str">
            <v>13.Сборные ж/б+кирпич</v>
          </cell>
          <cell r="BM89">
            <v>40544</v>
          </cell>
          <cell r="BN89">
            <v>40544</v>
          </cell>
          <cell r="BO89" t="str">
            <v>Оборудован</v>
          </cell>
          <cell r="BP89" t="str">
            <v>4.Мягк/рулонная</v>
          </cell>
          <cell r="BQ89" t="str">
            <v>2.Плоская</v>
          </cell>
          <cell r="BR89">
            <v>678.1</v>
          </cell>
          <cell r="BS89">
            <v>617.79999999999995</v>
          </cell>
          <cell r="BT89">
            <v>617.7998046875</v>
          </cell>
          <cell r="BU89">
            <v>494.2</v>
          </cell>
          <cell r="BV89">
            <v>494.2</v>
          </cell>
          <cell r="BW89" t="str">
            <v>3.Частный жилищный фонд</v>
          </cell>
          <cell r="BX89">
            <v>80</v>
          </cell>
          <cell r="BY89">
            <v>80</v>
          </cell>
          <cell r="BZ89" t="str">
            <v>1-я</v>
          </cell>
          <cell r="CA89">
            <v>1</v>
          </cell>
          <cell r="CB89">
            <v>27.01</v>
          </cell>
          <cell r="CC89">
            <v>27.009994506835938</v>
          </cell>
          <cell r="CD89">
            <v>3472.7</v>
          </cell>
          <cell r="CE89">
            <v>3472.69921875</v>
          </cell>
          <cell r="CF89" t="str">
            <v>ООО "Гранд"</v>
          </cell>
          <cell r="CG89">
            <v>80</v>
          </cell>
          <cell r="CH89">
            <v>0</v>
          </cell>
          <cell r="CI89">
            <v>0</v>
          </cell>
          <cell r="CJ89" t="str">
            <v>не предусмотрено проектом</v>
          </cell>
          <cell r="CK89">
            <v>0</v>
          </cell>
          <cell r="CL89">
            <v>0.4</v>
          </cell>
          <cell r="CM89">
            <v>80</v>
          </cell>
          <cell r="CN89">
            <v>888.7</v>
          </cell>
          <cell r="CO89">
            <v>888.7</v>
          </cell>
          <cell r="CP89">
            <v>2000.7</v>
          </cell>
          <cell r="CQ89">
            <v>2000.69921875</v>
          </cell>
          <cell r="CR89">
            <v>2000.69921875</v>
          </cell>
          <cell r="CS89">
            <v>8</v>
          </cell>
          <cell r="CT89">
            <v>80</v>
          </cell>
          <cell r="CU89">
            <v>80</v>
          </cell>
          <cell r="CV89">
            <v>72</v>
          </cell>
          <cell r="CW89">
            <v>37</v>
          </cell>
          <cell r="CX89">
            <v>2</v>
          </cell>
          <cell r="CY89">
            <v>2</v>
          </cell>
          <cell r="CZ89">
            <v>17102</v>
          </cell>
          <cell r="DA89" t="str">
            <v>Демский</v>
          </cell>
          <cell r="DB89" t="str">
            <v>3.Сборные ж/б панели</v>
          </cell>
          <cell r="DC89">
            <v>17102</v>
          </cell>
          <cell r="DD89">
            <v>1</v>
          </cell>
          <cell r="DE89">
            <v>13730</v>
          </cell>
          <cell r="DF89" t="str">
            <v>Пластинчатый</v>
          </cell>
          <cell r="DG89" t="str">
            <v>ГВС и ЦО</v>
          </cell>
          <cell r="DH89">
            <v>13730</v>
          </cell>
          <cell r="DI89">
            <v>1</v>
          </cell>
          <cell r="DJ89" t="str">
            <v>АО УЖХ Демского района</v>
          </cell>
          <cell r="DK89">
            <v>1</v>
          </cell>
          <cell r="DL89">
            <v>1</v>
          </cell>
          <cell r="DM89">
            <v>16159913</v>
          </cell>
          <cell r="DN89">
            <v>2</v>
          </cell>
          <cell r="DO89" t="str">
            <v>ГВС</v>
          </cell>
          <cell r="DP89" t="str">
            <v>УЖХ</v>
          </cell>
          <cell r="DQ89">
            <v>40808</v>
          </cell>
          <cell r="DR89">
            <v>0</v>
          </cell>
          <cell r="DS89">
            <v>80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 t="str">
            <v>4. Независимая схема</v>
          </cell>
          <cell r="EE89" t="str">
            <v>Нижний</v>
          </cell>
          <cell r="EF89">
            <v>0</v>
          </cell>
          <cell r="EG89">
            <v>0</v>
          </cell>
          <cell r="EH89">
            <v>0</v>
          </cell>
          <cell r="EI89">
            <v>7000.3</v>
          </cell>
          <cell r="EJ89">
            <v>1557.6</v>
          </cell>
          <cell r="EK89">
            <v>3932.4</v>
          </cell>
          <cell r="EL89">
            <v>0</v>
          </cell>
          <cell r="EM89">
            <v>209.8</v>
          </cell>
          <cell r="EN89">
            <v>4</v>
          </cell>
          <cell r="EO89">
            <v>4</v>
          </cell>
          <cell r="EP89">
            <v>0</v>
          </cell>
          <cell r="EQ89">
            <v>0</v>
          </cell>
          <cell r="ER89">
            <v>0</v>
          </cell>
          <cell r="ES89">
            <v>0</v>
          </cell>
          <cell r="ET89">
            <v>0</v>
          </cell>
          <cell r="EU89">
            <v>556.70000000000005</v>
          </cell>
          <cell r="EV89">
            <v>1</v>
          </cell>
          <cell r="EW89">
            <v>49.5</v>
          </cell>
          <cell r="EX89">
            <v>1</v>
          </cell>
          <cell r="EY89">
            <v>1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20.37</v>
          </cell>
          <cell r="FG89">
            <v>20.3699951171875</v>
          </cell>
          <cell r="FH89">
            <v>20.3699951171875</v>
          </cell>
          <cell r="FI89">
            <v>44013</v>
          </cell>
          <cell r="FJ89">
            <v>15477</v>
          </cell>
          <cell r="FK89">
            <v>15477</v>
          </cell>
          <cell r="FL89">
            <v>5042.7</v>
          </cell>
          <cell r="FM89">
            <v>78.92</v>
          </cell>
          <cell r="FN89">
            <v>2160.8000000000002</v>
          </cell>
          <cell r="FO89">
            <v>6482.4000000000005</v>
          </cell>
        </row>
        <row r="90">
          <cell r="AI90" t="str">
            <v>Дострой к дому по Ул. Грозненская дом 69/7</v>
          </cell>
          <cell r="AJ90" t="str">
            <v>Г,Д</v>
          </cell>
          <cell r="AK90">
            <v>5095.1000000000004</v>
          </cell>
          <cell r="AL90">
            <v>2833.5</v>
          </cell>
          <cell r="AM90">
            <v>2</v>
          </cell>
          <cell r="AN90">
            <v>2</v>
          </cell>
          <cell r="AO90" t="str">
            <v>АО УЖХ Демского района</v>
          </cell>
          <cell r="AP90">
            <v>5095.1000000000004</v>
          </cell>
          <cell r="AQ90">
            <v>0</v>
          </cell>
          <cell r="AR90">
            <v>301.2</v>
          </cell>
          <cell r="AS90">
            <v>909.6</v>
          </cell>
          <cell r="AT90">
            <v>99</v>
          </cell>
          <cell r="AU90">
            <v>11</v>
          </cell>
          <cell r="AV90">
            <v>222</v>
          </cell>
          <cell r="AW90">
            <v>0</v>
          </cell>
          <cell r="AX90" t="str">
            <v>отказ от услуги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>Управляющая компания</v>
          </cell>
          <cell r="BD90" t="str">
            <v>1. Жилой дом</v>
          </cell>
          <cell r="BE90">
            <v>8.92</v>
          </cell>
          <cell r="BF90" t="str">
            <v>2.Чёрный</v>
          </cell>
          <cell r="BG90" t="str">
            <v>2.Чёрный</v>
          </cell>
          <cell r="BH90" t="str">
            <v>3.Водяной</v>
          </cell>
          <cell r="BI90" t="str">
            <v>МУП УИС</v>
          </cell>
          <cell r="BJ90" t="str">
            <v>2. ПВХ</v>
          </cell>
          <cell r="BK90">
            <v>2</v>
          </cell>
          <cell r="BL90" t="str">
            <v>13.Сборные ж/б+кирпич</v>
          </cell>
          <cell r="BM90">
            <v>40544</v>
          </cell>
          <cell r="BN90">
            <v>40544</v>
          </cell>
          <cell r="BO90" t="str">
            <v>Оборудован</v>
          </cell>
          <cell r="BP90" t="str">
            <v>4.Мягк/рулонная</v>
          </cell>
          <cell r="BQ90" t="str">
            <v>2.Плоская</v>
          </cell>
          <cell r="BR90">
            <v>891.3</v>
          </cell>
          <cell r="BS90">
            <v>617.79999999999995</v>
          </cell>
          <cell r="BT90">
            <v>617.7998046875</v>
          </cell>
          <cell r="BU90">
            <v>722.7</v>
          </cell>
          <cell r="BV90">
            <v>722.7</v>
          </cell>
          <cell r="BW90" t="str">
            <v>3.Частный жилищный фонд</v>
          </cell>
          <cell r="BX90">
            <v>100</v>
          </cell>
          <cell r="BY90">
            <v>100</v>
          </cell>
          <cell r="BZ90" t="str">
            <v>1-я</v>
          </cell>
          <cell r="CA90">
            <v>1</v>
          </cell>
          <cell r="CB90">
            <v>27.01</v>
          </cell>
          <cell r="CC90">
            <v>27.009994506835938</v>
          </cell>
          <cell r="CD90">
            <v>5095.1000000000004</v>
          </cell>
          <cell r="CE90">
            <v>5095.09765625</v>
          </cell>
          <cell r="CF90" t="str">
            <v>ООО "Гранд"</v>
          </cell>
          <cell r="CG90">
            <v>100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0.3</v>
          </cell>
          <cell r="CM90">
            <v>100</v>
          </cell>
          <cell r="CN90">
            <v>1210.8</v>
          </cell>
          <cell r="CO90">
            <v>1210.8</v>
          </cell>
          <cell r="CP90">
            <v>2551.3000000000002</v>
          </cell>
          <cell r="CQ90">
            <v>2551.298828125</v>
          </cell>
          <cell r="CR90">
            <v>2551.298828125</v>
          </cell>
          <cell r="CS90">
            <v>2551.298828125</v>
          </cell>
          <cell r="CT90">
            <v>100</v>
          </cell>
          <cell r="CU90">
            <v>100</v>
          </cell>
          <cell r="CV90">
            <v>88</v>
          </cell>
          <cell r="CW90">
            <v>75</v>
          </cell>
          <cell r="CX90">
            <v>0</v>
          </cell>
          <cell r="CY90">
            <v>0</v>
          </cell>
          <cell r="CZ90">
            <v>23732</v>
          </cell>
          <cell r="DA90" t="str">
            <v>Демский</v>
          </cell>
          <cell r="DB90" t="str">
            <v>3.Сборные ж/б панели</v>
          </cell>
          <cell r="DC90">
            <v>23732</v>
          </cell>
          <cell r="DD90">
            <v>23732</v>
          </cell>
          <cell r="DE90">
            <v>13730</v>
          </cell>
          <cell r="DF90">
            <v>13730</v>
          </cell>
          <cell r="DG90" t="str">
            <v>ГВС и ЦО</v>
          </cell>
          <cell r="DH90">
            <v>13730</v>
          </cell>
          <cell r="DI90">
            <v>1</v>
          </cell>
          <cell r="DJ90" t="str">
            <v>АО УЖХ Демского района</v>
          </cell>
          <cell r="DK90">
            <v>1</v>
          </cell>
          <cell r="DL90">
            <v>1</v>
          </cell>
          <cell r="DM90">
            <v>22424686</v>
          </cell>
          <cell r="DN90">
            <v>2</v>
          </cell>
          <cell r="DO90">
            <v>2</v>
          </cell>
          <cell r="DP90" t="str">
            <v>УЖХ</v>
          </cell>
          <cell r="DQ90">
            <v>40809</v>
          </cell>
          <cell r="DR90">
            <v>0</v>
          </cell>
          <cell r="DS90">
            <v>100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 t="str">
            <v>4. Независимая схема</v>
          </cell>
          <cell r="EE90">
            <v>0</v>
          </cell>
          <cell r="EF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T90">
            <v>0</v>
          </cell>
          <cell r="EU90">
            <v>0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20.37</v>
          </cell>
          <cell r="FG90">
            <v>2</v>
          </cell>
          <cell r="FH90">
            <v>2</v>
          </cell>
          <cell r="FI90">
            <v>44013</v>
          </cell>
          <cell r="FJ90">
            <v>15477</v>
          </cell>
          <cell r="FK90">
            <v>15477</v>
          </cell>
          <cell r="FL90">
            <v>6923.7</v>
          </cell>
          <cell r="FM90">
            <v>78.92</v>
          </cell>
          <cell r="FN90">
            <v>2673.9900000000002</v>
          </cell>
          <cell r="FO90">
            <v>8021.9700000000012</v>
          </cell>
        </row>
        <row r="91">
          <cell r="AI91" t="str">
            <v>Дострой к дому по Ул. Грозненская дом 69/7</v>
          </cell>
          <cell r="AJ91" t="str">
            <v>В</v>
          </cell>
          <cell r="AK91">
            <v>2358.8000000000002</v>
          </cell>
          <cell r="AL91">
            <v>1181.9000000000001</v>
          </cell>
          <cell r="AM91">
            <v>1</v>
          </cell>
          <cell r="AN91">
            <v>1</v>
          </cell>
          <cell r="AO91" t="str">
            <v>АО УЖХ Демского района</v>
          </cell>
          <cell r="AP91">
            <v>2358.8000000000002</v>
          </cell>
          <cell r="AQ91">
            <v>0</v>
          </cell>
          <cell r="AR91">
            <v>146.5</v>
          </cell>
          <cell r="AS91">
            <v>504.4</v>
          </cell>
          <cell r="AT91">
            <v>58</v>
          </cell>
          <cell r="AU91">
            <v>11</v>
          </cell>
          <cell r="AV91">
            <v>98</v>
          </cell>
          <cell r="AW91">
            <v>0</v>
          </cell>
          <cell r="AX91" t="str">
            <v>отказ от услуги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 t="str">
            <v>Управляющая компания</v>
          </cell>
          <cell r="BD91" t="str">
            <v>1. Жилой дом</v>
          </cell>
          <cell r="BE91">
            <v>8.2799999999999994</v>
          </cell>
          <cell r="BF91" t="str">
            <v>2.Чёрный</v>
          </cell>
          <cell r="BG91" t="str">
            <v>2.Чёрный</v>
          </cell>
          <cell r="BH91" t="str">
            <v>3.Водяной</v>
          </cell>
          <cell r="BI91" t="str">
            <v>МУП УИС</v>
          </cell>
          <cell r="BJ91" t="str">
            <v>2. ПВХ</v>
          </cell>
          <cell r="BK91">
            <v>1</v>
          </cell>
          <cell r="BL91" t="str">
            <v>13.Сборные ж/б+кирпич</v>
          </cell>
          <cell r="BM91">
            <v>40878</v>
          </cell>
          <cell r="BN91">
            <v>40878</v>
          </cell>
          <cell r="BO91" t="str">
            <v>Оборудован</v>
          </cell>
          <cell r="BP91" t="str">
            <v>4.Мягк/рулонная</v>
          </cell>
          <cell r="BQ91" t="str">
            <v>2.Плоская</v>
          </cell>
          <cell r="BR91">
            <v>464.4</v>
          </cell>
          <cell r="BS91">
            <v>309</v>
          </cell>
          <cell r="BT91">
            <v>309</v>
          </cell>
          <cell r="BU91">
            <v>327.7</v>
          </cell>
          <cell r="BV91">
            <v>327.7</v>
          </cell>
          <cell r="BW91" t="str">
            <v>3.Частный жилищный фонд</v>
          </cell>
          <cell r="BX91">
            <v>58</v>
          </cell>
          <cell r="BY91">
            <v>58</v>
          </cell>
          <cell r="BZ91" t="str">
            <v>1-я</v>
          </cell>
          <cell r="CA91">
            <v>1</v>
          </cell>
          <cell r="CB91">
            <v>27.01</v>
          </cell>
          <cell r="CC91">
            <v>27.009994506835938</v>
          </cell>
          <cell r="CD91">
            <v>2358.8000000000002</v>
          </cell>
          <cell r="CE91">
            <v>2358.798828125</v>
          </cell>
          <cell r="CF91" t="str">
            <v>ООО "Гранд"</v>
          </cell>
          <cell r="CG91">
            <v>58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0.3</v>
          </cell>
          <cell r="CM91">
            <v>58</v>
          </cell>
          <cell r="CN91">
            <v>650.9</v>
          </cell>
          <cell r="CO91">
            <v>650.9</v>
          </cell>
          <cell r="CP91">
            <v>1287.5999999999999</v>
          </cell>
          <cell r="CQ91">
            <v>1287.599609375</v>
          </cell>
          <cell r="CR91">
            <v>1287.599609375</v>
          </cell>
          <cell r="CS91">
            <v>1287.599609375</v>
          </cell>
          <cell r="CT91">
            <v>58</v>
          </cell>
          <cell r="CU91">
            <v>58</v>
          </cell>
          <cell r="CV91">
            <v>53</v>
          </cell>
          <cell r="CW91">
            <v>34</v>
          </cell>
          <cell r="CX91">
            <v>34</v>
          </cell>
          <cell r="CY91">
            <v>34</v>
          </cell>
          <cell r="CZ91">
            <v>12343</v>
          </cell>
          <cell r="DA91" t="str">
            <v>Демский</v>
          </cell>
          <cell r="DB91" t="str">
            <v>3.Сборные ж/б панели</v>
          </cell>
          <cell r="DC91">
            <v>12343</v>
          </cell>
          <cell r="DD91">
            <v>12343</v>
          </cell>
          <cell r="DE91">
            <v>13730</v>
          </cell>
          <cell r="DF91">
            <v>13730</v>
          </cell>
          <cell r="DG91" t="str">
            <v>ГВС и ЦО</v>
          </cell>
          <cell r="DH91">
            <v>13730</v>
          </cell>
          <cell r="DI91">
            <v>1</v>
          </cell>
          <cell r="DJ91" t="str">
            <v>АО УЖХ Демского района</v>
          </cell>
          <cell r="DK91">
            <v>1</v>
          </cell>
          <cell r="DL91">
            <v>1</v>
          </cell>
          <cell r="DM91">
            <v>12046665</v>
          </cell>
          <cell r="DN91">
            <v>1</v>
          </cell>
          <cell r="DO91">
            <v>1</v>
          </cell>
          <cell r="DP91" t="str">
            <v>УЖХ</v>
          </cell>
          <cell r="DQ91">
            <v>40878</v>
          </cell>
          <cell r="DR91">
            <v>0</v>
          </cell>
          <cell r="DS91">
            <v>58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 t="str">
            <v>4. Независимая схема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20.37</v>
          </cell>
          <cell r="FG91">
            <v>2</v>
          </cell>
          <cell r="FH91">
            <v>2</v>
          </cell>
          <cell r="FI91">
            <v>44013</v>
          </cell>
          <cell r="FJ91">
            <v>15477</v>
          </cell>
          <cell r="FK91">
            <v>15477</v>
          </cell>
          <cell r="FL91">
            <v>3318.7</v>
          </cell>
          <cell r="FM91">
            <v>78.92</v>
          </cell>
          <cell r="FN91">
            <v>1566.5800000000002</v>
          </cell>
          <cell r="FO91">
            <v>4699.7400000000007</v>
          </cell>
        </row>
        <row r="92">
          <cell r="AI92" t="str">
            <v>Ул. Левитана дом 14/1</v>
          </cell>
          <cell r="AJ92">
            <v>4699.73828125</v>
          </cell>
          <cell r="AK92">
            <v>2944</v>
          </cell>
          <cell r="AL92">
            <v>2714.8</v>
          </cell>
          <cell r="AM92">
            <v>1</v>
          </cell>
          <cell r="AN92">
            <v>1</v>
          </cell>
          <cell r="AO92" t="str">
            <v>АО УЖХ Демского района</v>
          </cell>
          <cell r="AP92">
            <v>2716.2</v>
          </cell>
          <cell r="AQ92">
            <v>228</v>
          </cell>
          <cell r="AR92">
            <v>142.5</v>
          </cell>
          <cell r="AS92">
            <v>614.5</v>
          </cell>
          <cell r="AT92">
            <v>152</v>
          </cell>
          <cell r="AU92">
            <v>5</v>
          </cell>
          <cell r="AV92">
            <v>247</v>
          </cell>
          <cell r="AW92">
            <v>247</v>
          </cell>
          <cell r="AX92">
            <v>247</v>
          </cell>
          <cell r="AY92">
            <v>247</v>
          </cell>
          <cell r="AZ92">
            <v>1068.0999999999999</v>
          </cell>
          <cell r="BA92">
            <v>2192</v>
          </cell>
          <cell r="BB92">
            <v>2192</v>
          </cell>
          <cell r="BC92" t="str">
            <v>Управляющая компания</v>
          </cell>
          <cell r="BD92" t="str">
            <v>3.Общежитие</v>
          </cell>
          <cell r="BE92">
            <v>43</v>
          </cell>
          <cell r="BF92" t="str">
            <v>2.Чёрный</v>
          </cell>
          <cell r="BG92" t="str">
            <v>2.Чёрный</v>
          </cell>
          <cell r="BH92" t="str">
            <v>3.Водяной</v>
          </cell>
          <cell r="BI92" t="str">
            <v>МУП УИС</v>
          </cell>
          <cell r="BJ92" t="str">
            <v>1. Чугун</v>
          </cell>
          <cell r="BK92">
            <v>43</v>
          </cell>
          <cell r="BL92" t="str">
            <v>2.Кирпич</v>
          </cell>
          <cell r="BM92">
            <v>25569</v>
          </cell>
          <cell r="BN92">
            <v>25569</v>
          </cell>
          <cell r="BO92" t="str">
            <v>Не оборудован</v>
          </cell>
          <cell r="BP92" t="str">
            <v>1.Абсоцемент(шифер)</v>
          </cell>
          <cell r="BQ92" t="str">
            <v>1.Скатная</v>
          </cell>
          <cell r="BR92">
            <v>1018.4</v>
          </cell>
          <cell r="BS92">
            <v>406.2</v>
          </cell>
          <cell r="BT92">
            <v>406.199951171875</v>
          </cell>
          <cell r="BU92">
            <v>406.199951171875</v>
          </cell>
          <cell r="BV92">
            <v>0</v>
          </cell>
          <cell r="BW92" t="str">
            <v>3.Частный жилищный фонд</v>
          </cell>
          <cell r="BX92">
            <v>127</v>
          </cell>
          <cell r="BY92">
            <v>26</v>
          </cell>
          <cell r="BZ92" t="str">
            <v>2-я</v>
          </cell>
          <cell r="CA92">
            <v>1</v>
          </cell>
          <cell r="CB92">
            <v>27.01</v>
          </cell>
          <cell r="CC92">
            <v>27.009994506835938</v>
          </cell>
          <cell r="CD92">
            <v>2944.2</v>
          </cell>
          <cell r="CE92">
            <v>2944.19921875</v>
          </cell>
          <cell r="CF92" t="str">
            <v>ООО "Гранд"</v>
          </cell>
          <cell r="CG92">
            <v>144</v>
          </cell>
          <cell r="CH92">
            <v>9</v>
          </cell>
          <cell r="CI92" t="str">
            <v>Общежитие Коридорный тип</v>
          </cell>
          <cell r="CJ92">
            <v>9</v>
          </cell>
          <cell r="CK92">
            <v>0</v>
          </cell>
          <cell r="CL92">
            <v>1</v>
          </cell>
          <cell r="CM92">
            <v>155</v>
          </cell>
          <cell r="CN92">
            <v>757</v>
          </cell>
          <cell r="CO92">
            <v>757</v>
          </cell>
          <cell r="CP92">
            <v>1163.2</v>
          </cell>
          <cell r="CQ92">
            <v>1163.19921875</v>
          </cell>
          <cell r="CR92">
            <v>1163.19921875</v>
          </cell>
          <cell r="CS92">
            <v>1</v>
          </cell>
          <cell r="CT92">
            <v>152</v>
          </cell>
          <cell r="CU92">
            <v>152</v>
          </cell>
          <cell r="CV92">
            <v>21</v>
          </cell>
          <cell r="CW92">
            <v>18</v>
          </cell>
          <cell r="CX92">
            <v>1</v>
          </cell>
          <cell r="CY92">
            <v>1</v>
          </cell>
          <cell r="CZ92">
            <v>14156</v>
          </cell>
          <cell r="DA92" t="str">
            <v>Демский</v>
          </cell>
          <cell r="DB92" t="str">
            <v>3.Сборные ж/б панели</v>
          </cell>
          <cell r="DC92">
            <v>14156</v>
          </cell>
          <cell r="DD92">
            <v>14156</v>
          </cell>
          <cell r="DE92">
            <v>14156</v>
          </cell>
          <cell r="DF92">
            <v>14156</v>
          </cell>
          <cell r="DG92">
            <v>14156</v>
          </cell>
          <cell r="DH92">
            <v>14156</v>
          </cell>
          <cell r="DI92">
            <v>14156</v>
          </cell>
          <cell r="DJ92">
            <v>14156</v>
          </cell>
          <cell r="DK92">
            <v>14156</v>
          </cell>
          <cell r="DL92">
            <v>14156</v>
          </cell>
          <cell r="DM92">
            <v>11541178</v>
          </cell>
          <cell r="DN92">
            <v>1</v>
          </cell>
          <cell r="DO92" t="str">
            <v>ГВС</v>
          </cell>
          <cell r="DP92" t="str">
            <v>УЖХ</v>
          </cell>
          <cell r="DQ92">
            <v>40168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37.4</v>
          </cell>
          <cell r="DW92">
            <v>40</v>
          </cell>
          <cell r="DX92">
            <v>40</v>
          </cell>
          <cell r="DY92">
            <v>81.900000000000006</v>
          </cell>
          <cell r="DZ92">
            <v>614.5</v>
          </cell>
          <cell r="EA92">
            <v>614.5</v>
          </cell>
          <cell r="EB92">
            <v>614.5</v>
          </cell>
          <cell r="EC92">
            <v>614.5</v>
          </cell>
          <cell r="ED92" t="str">
            <v>3.Зависимая схема</v>
          </cell>
          <cell r="EE92" t="str">
            <v>Верхний</v>
          </cell>
          <cell r="EF92">
            <v>614.5</v>
          </cell>
          <cell r="EG92">
            <v>614.5</v>
          </cell>
          <cell r="EH92">
            <v>1952</v>
          </cell>
          <cell r="EI92">
            <v>1952</v>
          </cell>
          <cell r="EJ92">
            <v>0</v>
          </cell>
          <cell r="EK92">
            <v>727.5</v>
          </cell>
          <cell r="EL92">
            <v>48</v>
          </cell>
          <cell r="EM92">
            <v>247.5</v>
          </cell>
          <cell r="EN92">
            <v>2</v>
          </cell>
          <cell r="EO92">
            <v>2</v>
          </cell>
          <cell r="EP92">
            <v>0</v>
          </cell>
          <cell r="EQ92">
            <v>0</v>
          </cell>
          <cell r="ER92">
            <v>0</v>
          </cell>
          <cell r="ES92">
            <v>0</v>
          </cell>
          <cell r="ET92">
            <v>0</v>
          </cell>
          <cell r="EU92">
            <v>240</v>
          </cell>
          <cell r="EV92">
            <v>1</v>
          </cell>
          <cell r="EW92">
            <v>6.3</v>
          </cell>
          <cell r="EX92">
            <v>1</v>
          </cell>
          <cell r="EY92">
            <v>1</v>
          </cell>
          <cell r="EZ92">
            <v>0</v>
          </cell>
          <cell r="FA92">
            <v>38.799999999999997</v>
          </cell>
          <cell r="FB92">
            <v>1</v>
          </cell>
          <cell r="FC92">
            <v>1</v>
          </cell>
          <cell r="FD92">
            <v>0</v>
          </cell>
          <cell r="FE92">
            <v>0</v>
          </cell>
          <cell r="FF92">
            <v>20</v>
          </cell>
          <cell r="FG92">
            <v>20</v>
          </cell>
          <cell r="FH92" t="str">
            <v>С УЛК (ЖЭУ)</v>
          </cell>
          <cell r="FI92">
            <v>43466</v>
          </cell>
          <cell r="FJ92">
            <v>15477</v>
          </cell>
          <cell r="FK92">
            <v>15477</v>
          </cell>
          <cell r="FL92">
            <v>4107.2</v>
          </cell>
          <cell r="FM92">
            <v>78.92</v>
          </cell>
          <cell r="FN92">
            <v>4105.5200000000004</v>
          </cell>
          <cell r="FO92">
            <v>12316.560000000001</v>
          </cell>
        </row>
        <row r="93">
          <cell r="AI93" t="str">
            <v>Ул. Таллинская дом 2/1</v>
          </cell>
          <cell r="AJ93">
            <v>12316.5546875</v>
          </cell>
          <cell r="AK93">
            <v>658.5</v>
          </cell>
          <cell r="AL93">
            <v>380.1</v>
          </cell>
          <cell r="AM93">
            <v>1</v>
          </cell>
          <cell r="AN93">
            <v>1</v>
          </cell>
          <cell r="AO93" t="str">
            <v>АО УЖХ Демского района</v>
          </cell>
          <cell r="AP93">
            <v>658.5</v>
          </cell>
          <cell r="AQ93">
            <v>0</v>
          </cell>
          <cell r="AR93">
            <v>71.900000000000006</v>
          </cell>
          <cell r="AS93">
            <v>4.4000000000000004</v>
          </cell>
          <cell r="AT93">
            <v>14</v>
          </cell>
          <cell r="AU93">
            <v>5</v>
          </cell>
          <cell r="AV93">
            <v>18</v>
          </cell>
          <cell r="AW93">
            <v>0</v>
          </cell>
          <cell r="AX93">
            <v>0</v>
          </cell>
          <cell r="AY93">
            <v>0</v>
          </cell>
          <cell r="AZ93">
            <v>121.2</v>
          </cell>
          <cell r="BA93">
            <v>229.2</v>
          </cell>
          <cell r="BB93">
            <v>229.199951171875</v>
          </cell>
          <cell r="BC93" t="str">
            <v>Непосредственное</v>
          </cell>
          <cell r="BD93" t="str">
            <v>1. Жилой дом</v>
          </cell>
          <cell r="BE93">
            <v>32.6</v>
          </cell>
          <cell r="BF93" t="str">
            <v>1.Оцинкованный</v>
          </cell>
          <cell r="BG93">
            <v>32.5999755859375</v>
          </cell>
          <cell r="BH93" t="str">
            <v>3.Водяной</v>
          </cell>
          <cell r="BI93" t="str">
            <v>МУП УИС</v>
          </cell>
          <cell r="BJ93" t="str">
            <v>1. Чугун</v>
          </cell>
          <cell r="BK93">
            <v>32.5999755859375</v>
          </cell>
          <cell r="BL93" t="str">
            <v>2.Кирпич</v>
          </cell>
          <cell r="BM93">
            <v>30317</v>
          </cell>
          <cell r="BN93">
            <v>14</v>
          </cell>
          <cell r="BO93" t="str">
            <v>Оборудован</v>
          </cell>
          <cell r="BP93" t="str">
            <v>4.Мягк/рулонная</v>
          </cell>
          <cell r="BQ93" t="str">
            <v>2.Плоская</v>
          </cell>
          <cell r="BR93">
            <v>252</v>
          </cell>
          <cell r="BS93">
            <v>229.2</v>
          </cell>
          <cell r="BT93">
            <v>229.199951171875</v>
          </cell>
          <cell r="BU93">
            <v>229.199951171875</v>
          </cell>
          <cell r="BV93">
            <v>0</v>
          </cell>
          <cell r="BW93" t="str">
            <v>3.Частный жилищный фонд</v>
          </cell>
          <cell r="BX93">
            <v>14</v>
          </cell>
          <cell r="BY93">
            <v>0</v>
          </cell>
          <cell r="BZ93" t="str">
            <v>2-я</v>
          </cell>
          <cell r="CA93">
            <v>1</v>
          </cell>
          <cell r="CB93">
            <v>27.01</v>
          </cell>
          <cell r="CC93">
            <v>1</v>
          </cell>
          <cell r="CD93">
            <v>1</v>
          </cell>
          <cell r="CE93">
            <v>1</v>
          </cell>
          <cell r="CF93" t="str">
            <v>ООО "Гранд"</v>
          </cell>
          <cell r="CG93">
            <v>14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14</v>
          </cell>
          <cell r="CN93">
            <v>76.3</v>
          </cell>
          <cell r="CO93">
            <v>0</v>
          </cell>
          <cell r="CP93">
            <v>305.5</v>
          </cell>
          <cell r="CQ93">
            <v>305.5</v>
          </cell>
          <cell r="CR93">
            <v>305.5</v>
          </cell>
          <cell r="CS93">
            <v>0</v>
          </cell>
          <cell r="CT93">
            <v>14</v>
          </cell>
          <cell r="CU93">
            <v>0</v>
          </cell>
          <cell r="CV93">
            <v>0</v>
          </cell>
          <cell r="CW93">
            <v>0</v>
          </cell>
          <cell r="CX93">
            <v>1</v>
          </cell>
          <cell r="CY93">
            <v>1</v>
          </cell>
          <cell r="CZ93">
            <v>3243</v>
          </cell>
          <cell r="DA93" t="str">
            <v>Демский</v>
          </cell>
          <cell r="DB93" t="str">
            <v>3.Сборные ж/б панели</v>
          </cell>
          <cell r="DC93">
            <v>3243</v>
          </cell>
          <cell r="DD93">
            <v>3243</v>
          </cell>
          <cell r="DE93">
            <v>3243</v>
          </cell>
          <cell r="DF93">
            <v>3243</v>
          </cell>
          <cell r="DG93">
            <v>3243</v>
          </cell>
          <cell r="DH93">
            <v>3243</v>
          </cell>
          <cell r="DI93">
            <v>3243</v>
          </cell>
          <cell r="DJ93">
            <v>3243</v>
          </cell>
          <cell r="DK93">
            <v>0</v>
          </cell>
          <cell r="DL93">
            <v>0</v>
          </cell>
          <cell r="DM93">
            <v>1629831</v>
          </cell>
          <cell r="DN93">
            <v>1</v>
          </cell>
          <cell r="DO93">
            <v>1</v>
          </cell>
          <cell r="DP93" t="str">
            <v>УЖХ</v>
          </cell>
          <cell r="DQ93">
            <v>35814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 t="str">
            <v>3.Зависимая схема</v>
          </cell>
          <cell r="EE93" t="str">
            <v>Нижний</v>
          </cell>
          <cell r="EF93">
            <v>0</v>
          </cell>
          <cell r="EG93">
            <v>0</v>
          </cell>
          <cell r="EH93">
            <v>0</v>
          </cell>
          <cell r="EI93">
            <v>229.2</v>
          </cell>
          <cell r="EJ93">
            <v>30.8</v>
          </cell>
          <cell r="EK93">
            <v>30.79998779296875</v>
          </cell>
          <cell r="EL93">
            <v>30.79998779296875</v>
          </cell>
          <cell r="EM93">
            <v>90.4</v>
          </cell>
          <cell r="EN93">
            <v>0</v>
          </cell>
          <cell r="EO93">
            <v>0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T93">
            <v>0</v>
          </cell>
          <cell r="EU93">
            <v>0</v>
          </cell>
          <cell r="EV93">
            <v>0</v>
          </cell>
          <cell r="EW93">
            <v>0</v>
          </cell>
          <cell r="EX93">
            <v>0</v>
          </cell>
          <cell r="EY93">
            <v>0</v>
          </cell>
          <cell r="EZ93">
            <v>0</v>
          </cell>
          <cell r="FA93">
            <v>0</v>
          </cell>
          <cell r="FB93">
            <v>0</v>
          </cell>
          <cell r="FC93">
            <v>0</v>
          </cell>
          <cell r="FD93">
            <v>0</v>
          </cell>
          <cell r="FE93">
            <v>0</v>
          </cell>
          <cell r="FF93">
            <v>18.27</v>
          </cell>
          <cell r="FG93">
            <v>18.269989013671875</v>
          </cell>
          <cell r="FH93" t="str">
            <v>С УЛК (ЖЭУ)</v>
          </cell>
          <cell r="FI93">
            <v>43647</v>
          </cell>
          <cell r="FJ93">
            <v>15477</v>
          </cell>
          <cell r="FK93">
            <v>15477</v>
          </cell>
          <cell r="FL93">
            <v>964</v>
          </cell>
          <cell r="FM93">
            <v>78.92</v>
          </cell>
          <cell r="FN93">
            <v>1483.0200000000002</v>
          </cell>
          <cell r="FO93">
            <v>4449.0600000000004</v>
          </cell>
        </row>
        <row r="94">
          <cell r="AI94" t="str">
            <v>Ул. Таллинская дом 3/1</v>
          </cell>
          <cell r="AJ94">
            <v>4449.05859375</v>
          </cell>
          <cell r="AK94">
            <v>1757.4</v>
          </cell>
          <cell r="AL94">
            <v>1000.7</v>
          </cell>
          <cell r="AM94">
            <v>3</v>
          </cell>
          <cell r="AN94">
            <v>3</v>
          </cell>
          <cell r="AO94" t="str">
            <v>АО УЖХ Демского района</v>
          </cell>
          <cell r="AP94">
            <v>1700.4</v>
          </cell>
          <cell r="AQ94">
            <v>57</v>
          </cell>
          <cell r="AR94">
            <v>196.9</v>
          </cell>
          <cell r="AS94">
            <v>19.3</v>
          </cell>
          <cell r="AT94">
            <v>30</v>
          </cell>
          <cell r="AU94">
            <v>5</v>
          </cell>
          <cell r="AV94">
            <v>71</v>
          </cell>
          <cell r="AW94">
            <v>0</v>
          </cell>
          <cell r="AX94">
            <v>0</v>
          </cell>
          <cell r="AY94">
            <v>0</v>
          </cell>
          <cell r="AZ94">
            <v>501.7</v>
          </cell>
          <cell r="BA94">
            <v>1590.9</v>
          </cell>
          <cell r="BB94">
            <v>1590.8994140625</v>
          </cell>
          <cell r="BC94" t="str">
            <v>Непосредственное</v>
          </cell>
          <cell r="BD94" t="str">
            <v>1. Жилой дом</v>
          </cell>
          <cell r="BE94">
            <v>32.6</v>
          </cell>
          <cell r="BF94" t="str">
            <v>1.Оцинкованный</v>
          </cell>
          <cell r="BG94">
            <v>32.5999755859375</v>
          </cell>
          <cell r="BH94" t="str">
            <v>3.Водяной</v>
          </cell>
          <cell r="BI94" t="str">
            <v>МУП УИС</v>
          </cell>
          <cell r="BJ94" t="str">
            <v>1. Чугун</v>
          </cell>
          <cell r="BK94">
            <v>32.5999755859375</v>
          </cell>
          <cell r="BL94" t="str">
            <v>2.Кирпич</v>
          </cell>
          <cell r="BM94">
            <v>30317</v>
          </cell>
          <cell r="BN94">
            <v>30</v>
          </cell>
          <cell r="BO94" t="str">
            <v>Оборудован</v>
          </cell>
          <cell r="BP94" t="str">
            <v>4.Мягк/рулонная</v>
          </cell>
          <cell r="BQ94" t="str">
            <v>2.Плоская</v>
          </cell>
          <cell r="BR94">
            <v>634</v>
          </cell>
          <cell r="BS94">
            <v>576.79999999999995</v>
          </cell>
          <cell r="BT94">
            <v>576.7998046875</v>
          </cell>
          <cell r="BU94">
            <v>576.7998046875</v>
          </cell>
          <cell r="BV94">
            <v>0</v>
          </cell>
          <cell r="BW94" t="str">
            <v>3.Частный жилищный фонд</v>
          </cell>
          <cell r="BX94">
            <v>30</v>
          </cell>
          <cell r="BY94">
            <v>0</v>
          </cell>
          <cell r="BZ94" t="str">
            <v>2-я</v>
          </cell>
          <cell r="CA94">
            <v>1</v>
          </cell>
          <cell r="CB94">
            <v>27.01</v>
          </cell>
          <cell r="CC94">
            <v>1</v>
          </cell>
          <cell r="CD94">
            <v>1</v>
          </cell>
          <cell r="CE94">
            <v>1</v>
          </cell>
          <cell r="CF94" t="str">
            <v>ООО "Гранд"</v>
          </cell>
          <cell r="CG94">
            <v>29</v>
          </cell>
          <cell r="CH94">
            <v>1</v>
          </cell>
          <cell r="CI94">
            <v>1</v>
          </cell>
          <cell r="CJ94">
            <v>1</v>
          </cell>
          <cell r="CK94">
            <v>0</v>
          </cell>
          <cell r="CL94">
            <v>0</v>
          </cell>
          <cell r="CM94">
            <v>30</v>
          </cell>
          <cell r="CN94">
            <v>216.2</v>
          </cell>
          <cell r="CO94">
            <v>0</v>
          </cell>
          <cell r="CP94">
            <v>793</v>
          </cell>
          <cell r="CQ94">
            <v>793</v>
          </cell>
          <cell r="CR94">
            <v>793</v>
          </cell>
          <cell r="CS94">
            <v>1</v>
          </cell>
          <cell r="CT94">
            <v>30</v>
          </cell>
          <cell r="CU94">
            <v>0</v>
          </cell>
          <cell r="CV94">
            <v>0</v>
          </cell>
          <cell r="CW94">
            <v>0</v>
          </cell>
          <cell r="CX94">
            <v>1</v>
          </cell>
          <cell r="CY94">
            <v>1</v>
          </cell>
          <cell r="CZ94">
            <v>8219</v>
          </cell>
          <cell r="DA94" t="str">
            <v>Демский</v>
          </cell>
          <cell r="DB94" t="str">
            <v>3.Сборные ж/б панели</v>
          </cell>
          <cell r="DC94">
            <v>8219</v>
          </cell>
          <cell r="DD94">
            <v>8219</v>
          </cell>
          <cell r="DE94">
            <v>8219</v>
          </cell>
          <cell r="DF94">
            <v>8219</v>
          </cell>
          <cell r="DG94">
            <v>8219</v>
          </cell>
          <cell r="DH94">
            <v>8219</v>
          </cell>
          <cell r="DI94">
            <v>8219</v>
          </cell>
          <cell r="DJ94">
            <v>8219</v>
          </cell>
          <cell r="DK94">
            <v>0</v>
          </cell>
          <cell r="DL94">
            <v>0</v>
          </cell>
          <cell r="DM94">
            <v>4127096</v>
          </cell>
          <cell r="DN94">
            <v>0</v>
          </cell>
          <cell r="DO94">
            <v>0</v>
          </cell>
          <cell r="DP94" t="str">
            <v>УЖХ</v>
          </cell>
          <cell r="DQ94">
            <v>35591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 t="str">
            <v>3.Зависимая схема</v>
          </cell>
          <cell r="EE94" t="str">
            <v>Нижний</v>
          </cell>
          <cell r="EF94">
            <v>0</v>
          </cell>
          <cell r="EG94">
            <v>0</v>
          </cell>
          <cell r="EH94">
            <v>0</v>
          </cell>
          <cell r="EI94">
            <v>1590.9</v>
          </cell>
          <cell r="EJ94">
            <v>248.5</v>
          </cell>
          <cell r="EK94">
            <v>216.2</v>
          </cell>
          <cell r="EL94">
            <v>0</v>
          </cell>
          <cell r="EM94">
            <v>37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11.22</v>
          </cell>
          <cell r="FG94">
            <v>11.219993591308594</v>
          </cell>
          <cell r="FH94" t="str">
            <v>С УЛК (ЖЭУ)</v>
          </cell>
          <cell r="FI94">
            <v>43647</v>
          </cell>
          <cell r="FJ94">
            <v>15477</v>
          </cell>
          <cell r="FK94">
            <v>15477</v>
          </cell>
          <cell r="FL94">
            <v>2550.4</v>
          </cell>
          <cell r="FM94">
            <v>78.92</v>
          </cell>
          <cell r="FN94">
            <v>3177.9</v>
          </cell>
          <cell r="FO94">
            <v>9533.7000000000007</v>
          </cell>
        </row>
        <row r="95">
          <cell r="AI95" t="str">
            <v>Ул. Таллинская дом 3/а</v>
          </cell>
          <cell r="AJ95">
            <v>9533.6953125</v>
          </cell>
          <cell r="AK95">
            <v>410.8</v>
          </cell>
          <cell r="AL95">
            <v>283.39999999999998</v>
          </cell>
          <cell r="AM95">
            <v>2</v>
          </cell>
          <cell r="AN95">
            <v>2</v>
          </cell>
          <cell r="AO95" t="str">
            <v>АО УЖХ Демского района</v>
          </cell>
          <cell r="AP95">
            <v>370</v>
          </cell>
          <cell r="AQ95">
            <v>42.1</v>
          </cell>
          <cell r="AR95">
            <v>48.2</v>
          </cell>
          <cell r="AS95">
            <v>3.4</v>
          </cell>
          <cell r="AT95">
            <v>8</v>
          </cell>
          <cell r="AU95">
            <v>2</v>
          </cell>
          <cell r="AV95">
            <v>12</v>
          </cell>
          <cell r="AW95">
            <v>0</v>
          </cell>
          <cell r="AX95">
            <v>0</v>
          </cell>
          <cell r="AY95">
            <v>0</v>
          </cell>
          <cell r="AZ95">
            <v>1607.8</v>
          </cell>
          <cell r="BA95">
            <v>1050.5999999999999</v>
          </cell>
          <cell r="BB95">
            <v>1050.599609375</v>
          </cell>
          <cell r="BC95" t="str">
            <v>Непосредственное</v>
          </cell>
          <cell r="BD95" t="str">
            <v>1. Жилой дом</v>
          </cell>
          <cell r="BE95">
            <v>72.75</v>
          </cell>
          <cell r="BF95" t="str">
            <v>1.Оцинкованный</v>
          </cell>
          <cell r="BG95">
            <v>72.75</v>
          </cell>
          <cell r="BH95" t="str">
            <v>3.Водяной</v>
          </cell>
          <cell r="BI95" t="str">
            <v>МУП УИС</v>
          </cell>
          <cell r="BJ95" t="str">
            <v>1. Чугун</v>
          </cell>
          <cell r="BK95">
            <v>72.75</v>
          </cell>
          <cell r="BL95" t="str">
            <v>4.Шлакоблок</v>
          </cell>
          <cell r="BM95">
            <v>18629</v>
          </cell>
          <cell r="BN95">
            <v>18629</v>
          </cell>
          <cell r="BO95" t="str">
            <v>Не оборудован</v>
          </cell>
          <cell r="BP95" t="str">
            <v>1.Абсоцемент(шифер)</v>
          </cell>
          <cell r="BQ95" t="str">
            <v>1.Скатная</v>
          </cell>
          <cell r="BR95">
            <v>438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 t="str">
            <v>3.Частный жилищный фонд</v>
          </cell>
          <cell r="BX95">
            <v>8</v>
          </cell>
          <cell r="BY95">
            <v>0</v>
          </cell>
          <cell r="BZ95" t="str">
            <v>3-я</v>
          </cell>
          <cell r="CA95">
            <v>1</v>
          </cell>
          <cell r="CB95">
            <v>27.01</v>
          </cell>
          <cell r="CC95">
            <v>27.009994506835938</v>
          </cell>
          <cell r="CD95">
            <v>27.009994506835938</v>
          </cell>
          <cell r="CE95">
            <v>27.009994506835938</v>
          </cell>
          <cell r="CF95" t="str">
            <v>ООО "Гранд"</v>
          </cell>
          <cell r="CG95">
            <v>7</v>
          </cell>
          <cell r="CH95">
            <v>1</v>
          </cell>
          <cell r="CI95">
            <v>1</v>
          </cell>
          <cell r="CJ95">
            <v>1</v>
          </cell>
          <cell r="CK95">
            <v>0</v>
          </cell>
          <cell r="CL95">
            <v>0</v>
          </cell>
          <cell r="CM95">
            <v>10</v>
          </cell>
          <cell r="CN95">
            <v>51.6</v>
          </cell>
          <cell r="CO95">
            <v>0</v>
          </cell>
          <cell r="CP95">
            <v>51.6</v>
          </cell>
          <cell r="CQ95">
            <v>51.5999755859375</v>
          </cell>
          <cell r="CR95">
            <v>51.5999755859375</v>
          </cell>
          <cell r="CS95">
            <v>0</v>
          </cell>
          <cell r="CT95">
            <v>8</v>
          </cell>
          <cell r="CU95">
            <v>0</v>
          </cell>
          <cell r="CV95">
            <v>0</v>
          </cell>
          <cell r="CW95">
            <v>0</v>
          </cell>
          <cell r="CX95">
            <v>1</v>
          </cell>
          <cell r="CY95">
            <v>1</v>
          </cell>
          <cell r="CZ95">
            <v>2032</v>
          </cell>
          <cell r="DA95" t="str">
            <v>Демский</v>
          </cell>
          <cell r="DB95" t="str">
            <v>2.Деревянные</v>
          </cell>
          <cell r="DC95">
            <v>2032</v>
          </cell>
          <cell r="DD95">
            <v>2032</v>
          </cell>
          <cell r="DE95">
            <v>2032</v>
          </cell>
          <cell r="DF95">
            <v>2032</v>
          </cell>
          <cell r="DG95">
            <v>2032</v>
          </cell>
          <cell r="DH95">
            <v>2032</v>
          </cell>
          <cell r="DI95">
            <v>2032</v>
          </cell>
          <cell r="DJ95">
            <v>2032</v>
          </cell>
          <cell r="DK95">
            <v>0</v>
          </cell>
          <cell r="DL95">
            <v>0</v>
          </cell>
          <cell r="DM95">
            <v>749590</v>
          </cell>
          <cell r="DN95">
            <v>0</v>
          </cell>
          <cell r="DO95">
            <v>0</v>
          </cell>
          <cell r="DP95" t="str">
            <v>УЖХ</v>
          </cell>
          <cell r="DQ95">
            <v>35921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 t="str">
            <v>3.Зависимая схема</v>
          </cell>
          <cell r="EE95" t="str">
            <v>Верхний</v>
          </cell>
          <cell r="EF95">
            <v>0</v>
          </cell>
          <cell r="EG95">
            <v>0</v>
          </cell>
          <cell r="EH95">
            <v>0</v>
          </cell>
          <cell r="EI95">
            <v>900.6</v>
          </cell>
          <cell r="EJ95">
            <v>84.8</v>
          </cell>
          <cell r="EK95">
            <v>1406</v>
          </cell>
          <cell r="EL95">
            <v>0</v>
          </cell>
          <cell r="EM95">
            <v>45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150</v>
          </cell>
          <cell r="EV95">
            <v>1</v>
          </cell>
          <cell r="EW95">
            <v>1</v>
          </cell>
          <cell r="EX95">
            <v>0</v>
          </cell>
          <cell r="EY95">
            <v>0</v>
          </cell>
          <cell r="EZ95">
            <v>0</v>
          </cell>
          <cell r="FA95">
            <v>72</v>
          </cell>
          <cell r="FB95">
            <v>1</v>
          </cell>
          <cell r="FC95">
            <v>1</v>
          </cell>
          <cell r="FD95">
            <v>0</v>
          </cell>
          <cell r="FE95">
            <v>0</v>
          </cell>
          <cell r="FF95">
            <v>17.690000000000001</v>
          </cell>
          <cell r="FG95">
            <v>17.689987182617188</v>
          </cell>
          <cell r="FH95" t="str">
            <v>С УЛК (ЖЭУ)</v>
          </cell>
          <cell r="FI95">
            <v>43647</v>
          </cell>
          <cell r="FJ95">
            <v>15477</v>
          </cell>
          <cell r="FK95">
            <v>15477</v>
          </cell>
          <cell r="FL95">
            <v>462.4</v>
          </cell>
          <cell r="FM95">
            <v>78.92</v>
          </cell>
          <cell r="FN95">
            <v>216.08</v>
          </cell>
          <cell r="FO95">
            <v>648.24</v>
          </cell>
        </row>
        <row r="96">
          <cell r="AI96" t="str">
            <v>Ул. Таллинская дом 3/б</v>
          </cell>
          <cell r="AJ96">
            <v>648.23974609375</v>
          </cell>
          <cell r="AK96">
            <v>412.7</v>
          </cell>
          <cell r="AL96">
            <v>285.60000000000002</v>
          </cell>
          <cell r="AM96">
            <v>2</v>
          </cell>
          <cell r="AN96">
            <v>2</v>
          </cell>
          <cell r="AO96" t="str">
            <v>АО УЖХ Демского района</v>
          </cell>
          <cell r="AP96">
            <v>369.2</v>
          </cell>
          <cell r="AQ96">
            <v>43.9</v>
          </cell>
          <cell r="AR96">
            <v>56</v>
          </cell>
          <cell r="AS96">
            <v>3.4</v>
          </cell>
          <cell r="AT96">
            <v>8</v>
          </cell>
          <cell r="AU96">
            <v>2</v>
          </cell>
          <cell r="AV96">
            <v>19</v>
          </cell>
          <cell r="AW96">
            <v>0</v>
          </cell>
          <cell r="AX96">
            <v>0</v>
          </cell>
          <cell r="AY96">
            <v>0</v>
          </cell>
          <cell r="AZ96">
            <v>778.4</v>
          </cell>
          <cell r="BA96">
            <v>1134.9000000000001</v>
          </cell>
          <cell r="BB96">
            <v>1134.8994140625</v>
          </cell>
          <cell r="BC96" t="str">
            <v>Непосредственное</v>
          </cell>
          <cell r="BD96" t="str">
            <v>1. Жилой дом</v>
          </cell>
          <cell r="BE96">
            <v>70.75</v>
          </cell>
          <cell r="BF96" t="str">
            <v>2.Чёрный</v>
          </cell>
          <cell r="BG96">
            <v>70.75</v>
          </cell>
          <cell r="BH96" t="str">
            <v>3.Водяной</v>
          </cell>
          <cell r="BI96" t="str">
            <v>МУП УИС</v>
          </cell>
          <cell r="BJ96" t="str">
            <v>1. Чугун</v>
          </cell>
          <cell r="BK96">
            <v>70.75</v>
          </cell>
          <cell r="BL96" t="str">
            <v>4.Шлакоблок</v>
          </cell>
          <cell r="BM96">
            <v>19360</v>
          </cell>
          <cell r="BN96">
            <v>19360</v>
          </cell>
          <cell r="BO96" t="str">
            <v>Не оборудован</v>
          </cell>
          <cell r="BP96" t="str">
            <v>1.Абсоцемент(шифер)</v>
          </cell>
          <cell r="BQ96" t="str">
            <v>1.Скатная</v>
          </cell>
          <cell r="BR96">
            <v>432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 t="str">
            <v>3.Частный жилищный фонд</v>
          </cell>
          <cell r="BX96">
            <v>8</v>
          </cell>
          <cell r="BY96">
            <v>0</v>
          </cell>
          <cell r="BZ96" t="str">
            <v>3-я</v>
          </cell>
          <cell r="CA96">
            <v>1</v>
          </cell>
          <cell r="CB96">
            <v>27.01</v>
          </cell>
          <cell r="CC96">
            <v>27.009994506835938</v>
          </cell>
          <cell r="CD96">
            <v>27.009994506835938</v>
          </cell>
          <cell r="CE96">
            <v>27.009994506835938</v>
          </cell>
          <cell r="CF96" t="str">
            <v>ООО "Гранд"</v>
          </cell>
          <cell r="CG96">
            <v>7</v>
          </cell>
          <cell r="CH96">
            <v>1</v>
          </cell>
          <cell r="CI96">
            <v>1</v>
          </cell>
          <cell r="CJ96">
            <v>1</v>
          </cell>
          <cell r="CK96">
            <v>0</v>
          </cell>
          <cell r="CL96">
            <v>0</v>
          </cell>
          <cell r="CM96">
            <v>11</v>
          </cell>
          <cell r="CN96">
            <v>59.4</v>
          </cell>
          <cell r="CO96">
            <v>0</v>
          </cell>
          <cell r="CP96">
            <v>59.4</v>
          </cell>
          <cell r="CQ96">
            <v>59.399993896484375</v>
          </cell>
          <cell r="CR96">
            <v>59.399993896484375</v>
          </cell>
          <cell r="CS96">
            <v>0</v>
          </cell>
          <cell r="CT96">
            <v>8</v>
          </cell>
          <cell r="CU96">
            <v>0</v>
          </cell>
          <cell r="CV96">
            <v>0</v>
          </cell>
          <cell r="CW96">
            <v>0</v>
          </cell>
          <cell r="CX96">
            <v>1</v>
          </cell>
          <cell r="CY96">
            <v>1</v>
          </cell>
          <cell r="CZ96">
            <v>2056</v>
          </cell>
          <cell r="DA96" t="str">
            <v>Демский</v>
          </cell>
          <cell r="DB96" t="str">
            <v>2.Деревянные</v>
          </cell>
          <cell r="DC96">
            <v>2056</v>
          </cell>
          <cell r="DD96">
            <v>2056</v>
          </cell>
          <cell r="DE96">
            <v>2056</v>
          </cell>
          <cell r="DF96">
            <v>2056</v>
          </cell>
          <cell r="DG96">
            <v>2056</v>
          </cell>
          <cell r="DH96">
            <v>2056</v>
          </cell>
          <cell r="DI96">
            <v>2056</v>
          </cell>
          <cell r="DJ96">
            <v>2056</v>
          </cell>
          <cell r="DK96">
            <v>0</v>
          </cell>
          <cell r="DL96">
            <v>0</v>
          </cell>
          <cell r="DM96">
            <v>758444</v>
          </cell>
          <cell r="DN96">
            <v>0</v>
          </cell>
          <cell r="DO96">
            <v>0</v>
          </cell>
          <cell r="DP96" t="str">
            <v>ЖРЭУ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 t="str">
            <v>3.Зависимая схема</v>
          </cell>
          <cell r="EE96" t="str">
            <v>Верхний</v>
          </cell>
          <cell r="EF96">
            <v>0</v>
          </cell>
          <cell r="EG96">
            <v>0</v>
          </cell>
          <cell r="EH96">
            <v>0</v>
          </cell>
          <cell r="EI96">
            <v>1134.9000000000001</v>
          </cell>
          <cell r="EJ96">
            <v>28</v>
          </cell>
          <cell r="EK96">
            <v>654.4</v>
          </cell>
          <cell r="EL96">
            <v>40</v>
          </cell>
          <cell r="EM96">
            <v>56</v>
          </cell>
          <cell r="EN96">
            <v>0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T96">
            <v>0</v>
          </cell>
          <cell r="EU96">
            <v>0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16.61</v>
          </cell>
          <cell r="FG96">
            <v>16.6099853515625</v>
          </cell>
          <cell r="FH96" t="str">
            <v>С УЛК (ЖЭУ)</v>
          </cell>
          <cell r="FI96">
            <v>43647</v>
          </cell>
          <cell r="FJ96">
            <v>15477</v>
          </cell>
          <cell r="FK96">
            <v>15477</v>
          </cell>
          <cell r="FL96">
            <v>472.1</v>
          </cell>
          <cell r="FM96">
            <v>78.92</v>
          </cell>
          <cell r="FN96">
            <v>216.08</v>
          </cell>
          <cell r="FO96">
            <v>648.24</v>
          </cell>
        </row>
        <row r="97">
          <cell r="AI97" t="str">
            <v>Ул. Таллинская дом 4</v>
          </cell>
          <cell r="AJ97">
            <v>648.23974609375</v>
          </cell>
          <cell r="AK97">
            <v>4547.6000000000004</v>
          </cell>
          <cell r="AL97">
            <v>3057.1</v>
          </cell>
          <cell r="AM97">
            <v>6</v>
          </cell>
          <cell r="AN97">
            <v>6</v>
          </cell>
          <cell r="AO97" t="str">
            <v>АО УЖХ Демского района</v>
          </cell>
          <cell r="AP97">
            <v>4286.3</v>
          </cell>
          <cell r="AQ97">
            <v>260.89999999999998</v>
          </cell>
          <cell r="AR97">
            <v>375.2</v>
          </cell>
          <cell r="AS97">
            <v>12.6</v>
          </cell>
          <cell r="AT97">
            <v>100</v>
          </cell>
          <cell r="AU97">
            <v>5</v>
          </cell>
          <cell r="AV97">
            <v>233</v>
          </cell>
          <cell r="AW97">
            <v>0</v>
          </cell>
          <cell r="AX97">
            <v>0</v>
          </cell>
          <cell r="AY97">
            <v>0</v>
          </cell>
          <cell r="AZ97">
            <v>1492</v>
          </cell>
          <cell r="BA97">
            <v>3448</v>
          </cell>
          <cell r="BB97">
            <v>3448</v>
          </cell>
          <cell r="BC97" t="str">
            <v>Управляющая компания</v>
          </cell>
          <cell r="BD97" t="str">
            <v>1. Жилой дом</v>
          </cell>
          <cell r="BE97">
            <v>44.6</v>
          </cell>
          <cell r="BF97" t="str">
            <v>1.Оцинкованный</v>
          </cell>
          <cell r="BG97">
            <v>44.5999755859375</v>
          </cell>
          <cell r="BH97" t="str">
            <v>3.Водяной</v>
          </cell>
          <cell r="BI97" t="str">
            <v>МУП УИС</v>
          </cell>
          <cell r="BJ97" t="str">
            <v>1. Чугун</v>
          </cell>
          <cell r="BK97">
            <v>44.5999755859375</v>
          </cell>
          <cell r="BL97" t="str">
            <v>2.Кирпич</v>
          </cell>
          <cell r="BM97">
            <v>24838</v>
          </cell>
          <cell r="BN97">
            <v>100</v>
          </cell>
          <cell r="BO97" t="str">
            <v>Оборудован</v>
          </cell>
          <cell r="BP97" t="str">
            <v>1.Абсоцемент(шифер)</v>
          </cell>
          <cell r="BQ97" t="str">
            <v>1.Скатная</v>
          </cell>
          <cell r="BR97">
            <v>1432</v>
          </cell>
          <cell r="BS97">
            <v>1265.3</v>
          </cell>
          <cell r="BT97">
            <v>1265.2998046875</v>
          </cell>
          <cell r="BU97">
            <v>1265.2998046875</v>
          </cell>
          <cell r="BV97">
            <v>0</v>
          </cell>
          <cell r="BW97" t="str">
            <v>3.Частный жилищный фонд</v>
          </cell>
          <cell r="BX97">
            <v>100</v>
          </cell>
          <cell r="BY97">
            <v>0</v>
          </cell>
          <cell r="BZ97" t="str">
            <v>2-я</v>
          </cell>
          <cell r="CA97">
            <v>1</v>
          </cell>
          <cell r="CB97">
            <v>27.01</v>
          </cell>
          <cell r="CC97">
            <v>1</v>
          </cell>
          <cell r="CD97">
            <v>1</v>
          </cell>
          <cell r="CE97">
            <v>4547.2</v>
          </cell>
          <cell r="CF97" t="str">
            <v>ООО "Гранд"</v>
          </cell>
          <cell r="CG97">
            <v>95</v>
          </cell>
          <cell r="CH97">
            <v>5</v>
          </cell>
          <cell r="CI97">
            <v>5</v>
          </cell>
          <cell r="CJ97">
            <v>5</v>
          </cell>
          <cell r="CK97">
            <v>1</v>
          </cell>
          <cell r="CL97">
            <v>1</v>
          </cell>
          <cell r="CM97">
            <v>100</v>
          </cell>
          <cell r="CN97">
            <v>387.8</v>
          </cell>
          <cell r="CO97">
            <v>0</v>
          </cell>
          <cell r="CP97">
            <v>1653.1</v>
          </cell>
          <cell r="CQ97">
            <v>1653.099609375</v>
          </cell>
          <cell r="CR97">
            <v>1653.099609375</v>
          </cell>
          <cell r="CS97">
            <v>2</v>
          </cell>
          <cell r="CT97">
            <v>100</v>
          </cell>
          <cell r="CU97">
            <v>0</v>
          </cell>
          <cell r="CV97">
            <v>76</v>
          </cell>
          <cell r="CW97">
            <v>0</v>
          </cell>
          <cell r="CX97">
            <v>1</v>
          </cell>
          <cell r="CY97">
            <v>1</v>
          </cell>
          <cell r="CZ97">
            <v>17841</v>
          </cell>
          <cell r="DA97" t="str">
            <v>Демский</v>
          </cell>
          <cell r="DB97" t="str">
            <v>3.Сборные ж/б панели</v>
          </cell>
          <cell r="DC97">
            <v>17841</v>
          </cell>
          <cell r="DD97">
            <v>17841</v>
          </cell>
          <cell r="DE97">
            <v>17841</v>
          </cell>
          <cell r="DF97">
            <v>17841</v>
          </cell>
          <cell r="DG97">
            <v>17841</v>
          </cell>
          <cell r="DH97">
            <v>17841</v>
          </cell>
          <cell r="DI97">
            <v>17841</v>
          </cell>
          <cell r="DJ97">
            <v>17841</v>
          </cell>
          <cell r="DK97">
            <v>0</v>
          </cell>
          <cell r="DL97">
            <v>0</v>
          </cell>
          <cell r="DM97">
            <v>8613437</v>
          </cell>
          <cell r="DN97">
            <v>6</v>
          </cell>
          <cell r="DO97">
            <v>6</v>
          </cell>
          <cell r="DP97" t="str">
            <v>УЖХ</v>
          </cell>
          <cell r="DQ97">
            <v>35745</v>
          </cell>
          <cell r="DR97">
            <v>0</v>
          </cell>
          <cell r="DS97">
            <v>100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 t="str">
            <v>3.Зависимая схема</v>
          </cell>
          <cell r="EE97" t="str">
            <v>Нижний</v>
          </cell>
          <cell r="EF97">
            <v>0</v>
          </cell>
          <cell r="EG97">
            <v>0</v>
          </cell>
          <cell r="EH97">
            <v>1808</v>
          </cell>
          <cell r="EI97">
            <v>1640</v>
          </cell>
          <cell r="EJ97">
            <v>256</v>
          </cell>
          <cell r="EK97">
            <v>1018</v>
          </cell>
          <cell r="EL97">
            <v>1018</v>
          </cell>
          <cell r="EM97">
            <v>218</v>
          </cell>
          <cell r="EN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T97">
            <v>0</v>
          </cell>
          <cell r="EU97">
            <v>0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13.84</v>
          </cell>
          <cell r="FG97">
            <v>2</v>
          </cell>
          <cell r="FH97">
            <v>2</v>
          </cell>
          <cell r="FI97">
            <v>42934</v>
          </cell>
          <cell r="FJ97">
            <v>15477</v>
          </cell>
          <cell r="FK97">
            <v>15477</v>
          </cell>
          <cell r="FL97">
            <v>6200.7</v>
          </cell>
          <cell r="FM97">
            <v>78.92</v>
          </cell>
          <cell r="FN97">
            <v>10593</v>
          </cell>
          <cell r="FO97">
            <v>31779</v>
          </cell>
        </row>
        <row r="98">
          <cell r="AI98" t="str">
            <v>Ул. Таллинская дом 6</v>
          </cell>
          <cell r="AJ98">
            <v>31779</v>
          </cell>
          <cell r="AK98">
            <v>1645.6</v>
          </cell>
          <cell r="AL98">
            <v>1079.5999999999999</v>
          </cell>
          <cell r="AM98">
            <v>2</v>
          </cell>
          <cell r="AN98">
            <v>2</v>
          </cell>
          <cell r="AO98" t="str">
            <v>АО УЖХ Демского района</v>
          </cell>
          <cell r="AP98">
            <v>1544.8</v>
          </cell>
          <cell r="AQ98">
            <v>101.2</v>
          </cell>
          <cell r="AR98">
            <v>145.4</v>
          </cell>
          <cell r="AS98">
            <v>5.6</v>
          </cell>
          <cell r="AT98">
            <v>37</v>
          </cell>
          <cell r="AU98">
            <v>5</v>
          </cell>
          <cell r="AV98">
            <v>85</v>
          </cell>
          <cell r="AW98">
            <v>0</v>
          </cell>
          <cell r="AX98">
            <v>0</v>
          </cell>
          <cell r="AY98">
            <v>128</v>
          </cell>
          <cell r="AZ98">
            <v>868</v>
          </cell>
          <cell r="BA98">
            <v>1052</v>
          </cell>
          <cell r="BB98">
            <v>1052</v>
          </cell>
          <cell r="BC98" t="str">
            <v>Управляющая компания</v>
          </cell>
          <cell r="BD98" t="str">
            <v>1. Жилой дом</v>
          </cell>
          <cell r="BE98">
            <v>44.6</v>
          </cell>
          <cell r="BF98" t="str">
            <v>1.Оцинкованный</v>
          </cell>
          <cell r="BG98">
            <v>44.5999755859375</v>
          </cell>
          <cell r="BH98" t="str">
            <v>3.Водяной</v>
          </cell>
          <cell r="BI98" t="str">
            <v>МУП УИС</v>
          </cell>
          <cell r="BJ98" t="str">
            <v>1. Чугун</v>
          </cell>
          <cell r="BK98">
            <v>44.5999755859375</v>
          </cell>
          <cell r="BL98" t="str">
            <v>2.Кирпич</v>
          </cell>
          <cell r="BM98">
            <v>24838</v>
          </cell>
          <cell r="BN98">
            <v>37</v>
          </cell>
          <cell r="BO98" t="str">
            <v>Оборудован</v>
          </cell>
          <cell r="BP98" t="str">
            <v>1.Абсоцемент(шифер)</v>
          </cell>
          <cell r="BQ98" t="str">
            <v>1.Скатная</v>
          </cell>
          <cell r="BR98">
            <v>659</v>
          </cell>
          <cell r="BS98">
            <v>456</v>
          </cell>
          <cell r="BT98">
            <v>456</v>
          </cell>
          <cell r="BU98">
            <v>456</v>
          </cell>
          <cell r="BV98">
            <v>0</v>
          </cell>
          <cell r="BW98" t="str">
            <v>3.Частный жилищный фонд</v>
          </cell>
          <cell r="BX98">
            <v>37</v>
          </cell>
          <cell r="BY98">
            <v>0</v>
          </cell>
          <cell r="BZ98" t="str">
            <v>2-я</v>
          </cell>
          <cell r="CA98">
            <v>1</v>
          </cell>
          <cell r="CB98">
            <v>27.01</v>
          </cell>
          <cell r="CC98">
            <v>1</v>
          </cell>
          <cell r="CD98">
            <v>1</v>
          </cell>
          <cell r="CE98">
            <v>1646</v>
          </cell>
          <cell r="CF98" t="str">
            <v>ООО "Гранд"</v>
          </cell>
          <cell r="CG98">
            <v>35</v>
          </cell>
          <cell r="CH98">
            <v>2</v>
          </cell>
          <cell r="CI98">
            <v>2</v>
          </cell>
          <cell r="CJ98">
            <v>2</v>
          </cell>
          <cell r="CK98">
            <v>0</v>
          </cell>
          <cell r="CL98">
            <v>1</v>
          </cell>
          <cell r="CM98">
            <v>37</v>
          </cell>
          <cell r="CN98">
            <v>151</v>
          </cell>
          <cell r="CO98">
            <v>0</v>
          </cell>
          <cell r="CP98">
            <v>607</v>
          </cell>
          <cell r="CQ98">
            <v>607</v>
          </cell>
          <cell r="CR98">
            <v>607</v>
          </cell>
          <cell r="CS98">
            <v>1</v>
          </cell>
          <cell r="CT98">
            <v>37</v>
          </cell>
          <cell r="CU98">
            <v>0</v>
          </cell>
          <cell r="CV98">
            <v>29</v>
          </cell>
          <cell r="CW98">
            <v>0</v>
          </cell>
          <cell r="CX98">
            <v>1</v>
          </cell>
          <cell r="CY98">
            <v>1</v>
          </cell>
          <cell r="CZ98">
            <v>7277</v>
          </cell>
          <cell r="DA98" t="str">
            <v>Демский</v>
          </cell>
          <cell r="DB98" t="str">
            <v>3.Сборные ж/б панели</v>
          </cell>
          <cell r="DC98">
            <v>7277</v>
          </cell>
          <cell r="DD98">
            <v>7277</v>
          </cell>
          <cell r="DE98">
            <v>7277</v>
          </cell>
          <cell r="DF98">
            <v>7277</v>
          </cell>
          <cell r="DG98">
            <v>7277</v>
          </cell>
          <cell r="DH98">
            <v>7277</v>
          </cell>
          <cell r="DI98">
            <v>7277</v>
          </cell>
          <cell r="DJ98">
            <v>7277</v>
          </cell>
          <cell r="DK98">
            <v>0</v>
          </cell>
          <cell r="DL98">
            <v>0</v>
          </cell>
          <cell r="DM98">
            <v>3335070</v>
          </cell>
          <cell r="DN98">
            <v>1</v>
          </cell>
          <cell r="DO98">
            <v>1</v>
          </cell>
          <cell r="DP98" t="str">
            <v>УЖХ</v>
          </cell>
          <cell r="DQ98">
            <v>40340</v>
          </cell>
          <cell r="DR98">
            <v>0</v>
          </cell>
          <cell r="DS98">
            <v>37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 t="str">
            <v>3.Зависимая схема</v>
          </cell>
          <cell r="EE98" t="str">
            <v>Нижний</v>
          </cell>
          <cell r="EF98">
            <v>0</v>
          </cell>
          <cell r="EG98">
            <v>0</v>
          </cell>
          <cell r="EH98">
            <v>0</v>
          </cell>
          <cell r="EI98">
            <v>1052</v>
          </cell>
          <cell r="EJ98">
            <v>177</v>
          </cell>
          <cell r="EK98">
            <v>548</v>
          </cell>
          <cell r="EL98">
            <v>13</v>
          </cell>
          <cell r="EM98">
            <v>130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20.49</v>
          </cell>
          <cell r="FG98">
            <v>20.489990234375</v>
          </cell>
          <cell r="FH98">
            <v>20.489990234375</v>
          </cell>
          <cell r="FI98">
            <v>44378</v>
          </cell>
          <cell r="FJ98">
            <v>15477</v>
          </cell>
          <cell r="FK98">
            <v>15477</v>
          </cell>
          <cell r="FL98">
            <v>2380.6</v>
          </cell>
          <cell r="FM98">
            <v>78.92</v>
          </cell>
          <cell r="FN98">
            <v>3919.41</v>
          </cell>
          <cell r="FO98">
            <v>11758.23</v>
          </cell>
        </row>
        <row r="99">
          <cell r="AI99" t="str">
            <v>Ул. Таллинская дом 7</v>
          </cell>
          <cell r="AJ99">
            <v>11758.2265625</v>
          </cell>
          <cell r="AK99">
            <v>2488.4</v>
          </cell>
          <cell r="AL99">
            <v>1644.6</v>
          </cell>
          <cell r="AM99">
            <v>3</v>
          </cell>
          <cell r="AN99">
            <v>3</v>
          </cell>
          <cell r="AO99" t="str">
            <v>АО УЖХ Демского района</v>
          </cell>
          <cell r="AP99">
            <v>2488.4</v>
          </cell>
          <cell r="AQ99">
            <v>0</v>
          </cell>
          <cell r="AR99">
            <v>221.3</v>
          </cell>
          <cell r="AS99">
            <v>6</v>
          </cell>
          <cell r="AT99">
            <v>59</v>
          </cell>
          <cell r="AU99">
            <v>5</v>
          </cell>
          <cell r="AV99">
            <v>133</v>
          </cell>
          <cell r="AW99">
            <v>0</v>
          </cell>
          <cell r="AX99">
            <v>0</v>
          </cell>
          <cell r="AY99">
            <v>40.9</v>
          </cell>
          <cell r="AZ99">
            <v>1136.2</v>
          </cell>
          <cell r="BA99">
            <v>1726.5</v>
          </cell>
          <cell r="BB99">
            <v>1726.5</v>
          </cell>
          <cell r="BC99" t="str">
            <v>Управляющая компания</v>
          </cell>
          <cell r="BD99" t="str">
            <v>1. Жилой дом</v>
          </cell>
          <cell r="BE99">
            <v>45.4</v>
          </cell>
          <cell r="BF99" t="str">
            <v>1.Оцинкованный</v>
          </cell>
          <cell r="BG99">
            <v>45.399993896484375</v>
          </cell>
          <cell r="BH99" t="str">
            <v>3.Водяной</v>
          </cell>
          <cell r="BI99" t="str">
            <v>МУП УИС</v>
          </cell>
          <cell r="BJ99" t="str">
            <v>1. Чугун</v>
          </cell>
          <cell r="BK99">
            <v>45.399993896484375</v>
          </cell>
          <cell r="BL99" t="str">
            <v>8.Сборные ж/б</v>
          </cell>
          <cell r="BM99">
            <v>24473</v>
          </cell>
          <cell r="BN99">
            <v>60</v>
          </cell>
          <cell r="BO99" t="str">
            <v>Оборудован</v>
          </cell>
          <cell r="BP99" t="str">
            <v>1.Абсоцемент(шифер)</v>
          </cell>
          <cell r="BQ99" t="str">
            <v>1.Скатная</v>
          </cell>
          <cell r="BR99">
            <v>842.5</v>
          </cell>
          <cell r="BS99">
            <v>640</v>
          </cell>
          <cell r="BT99">
            <v>640</v>
          </cell>
          <cell r="BU99">
            <v>640</v>
          </cell>
          <cell r="BV99">
            <v>0</v>
          </cell>
          <cell r="BW99" t="str">
            <v>3.Частный жилищный фонд</v>
          </cell>
          <cell r="BX99">
            <v>60</v>
          </cell>
          <cell r="BY99">
            <v>0</v>
          </cell>
          <cell r="BZ99" t="str">
            <v>2-я</v>
          </cell>
          <cell r="CA99">
            <v>1</v>
          </cell>
          <cell r="CB99">
            <v>27.01</v>
          </cell>
          <cell r="CC99">
            <v>1</v>
          </cell>
          <cell r="CD99">
            <v>1</v>
          </cell>
          <cell r="CE99">
            <v>2488.4</v>
          </cell>
          <cell r="CF99" t="str">
            <v>ООО "Гранд"</v>
          </cell>
          <cell r="CG99">
            <v>59</v>
          </cell>
          <cell r="CH99">
            <v>0</v>
          </cell>
          <cell r="CI99">
            <v>0</v>
          </cell>
          <cell r="CJ99">
            <v>0</v>
          </cell>
          <cell r="CK99">
            <v>1</v>
          </cell>
          <cell r="CL99">
            <v>1</v>
          </cell>
          <cell r="CM99">
            <v>59</v>
          </cell>
          <cell r="CN99">
            <v>227.3</v>
          </cell>
          <cell r="CO99">
            <v>0</v>
          </cell>
          <cell r="CP99">
            <v>867.3</v>
          </cell>
          <cell r="CQ99">
            <v>867.2998046875</v>
          </cell>
          <cell r="CR99">
            <v>867.2998046875</v>
          </cell>
          <cell r="CS99">
            <v>1</v>
          </cell>
          <cell r="CT99">
            <v>60</v>
          </cell>
          <cell r="CU99">
            <v>0</v>
          </cell>
          <cell r="CV99">
            <v>51</v>
          </cell>
          <cell r="CW99">
            <v>0</v>
          </cell>
          <cell r="CX99">
            <v>1</v>
          </cell>
          <cell r="CY99">
            <v>1</v>
          </cell>
          <cell r="CZ99">
            <v>9073</v>
          </cell>
          <cell r="DA99" t="str">
            <v>Демский</v>
          </cell>
          <cell r="DB99" t="str">
            <v>3.Сборные ж/б панели</v>
          </cell>
          <cell r="DC99">
            <v>9073</v>
          </cell>
          <cell r="DD99">
            <v>9073</v>
          </cell>
          <cell r="DE99">
            <v>9073</v>
          </cell>
          <cell r="DF99">
            <v>9073</v>
          </cell>
          <cell r="DG99">
            <v>9073</v>
          </cell>
          <cell r="DH99">
            <v>9073</v>
          </cell>
          <cell r="DI99">
            <v>9073</v>
          </cell>
          <cell r="DJ99">
            <v>9073</v>
          </cell>
          <cell r="DK99">
            <v>0</v>
          </cell>
          <cell r="DL99">
            <v>0</v>
          </cell>
          <cell r="DM99">
            <v>4161251</v>
          </cell>
          <cell r="DN99">
            <v>3</v>
          </cell>
          <cell r="DO99">
            <v>3</v>
          </cell>
          <cell r="DP99" t="str">
            <v>УЖХ</v>
          </cell>
          <cell r="DQ99">
            <v>39258</v>
          </cell>
          <cell r="DR99">
            <v>0</v>
          </cell>
          <cell r="DS99">
            <v>59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 t="str">
            <v>3.Зависимая схема</v>
          </cell>
          <cell r="EE99" t="str">
            <v>Нижний</v>
          </cell>
          <cell r="EF99">
            <v>0</v>
          </cell>
          <cell r="EG99">
            <v>0</v>
          </cell>
          <cell r="EH99">
            <v>0</v>
          </cell>
          <cell r="EI99">
            <v>1726.5</v>
          </cell>
          <cell r="EJ99">
            <v>284</v>
          </cell>
          <cell r="EK99">
            <v>756.6</v>
          </cell>
          <cell r="EL99">
            <v>0</v>
          </cell>
          <cell r="EM99">
            <v>45.6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50</v>
          </cell>
          <cell r="FB99">
            <v>1</v>
          </cell>
          <cell r="FC99">
            <v>1</v>
          </cell>
          <cell r="FD99">
            <v>0</v>
          </cell>
          <cell r="FE99">
            <v>0</v>
          </cell>
          <cell r="FF99">
            <v>14.65</v>
          </cell>
          <cell r="FG99">
            <v>2</v>
          </cell>
          <cell r="FH99">
            <v>2</v>
          </cell>
          <cell r="FI99">
            <v>44013</v>
          </cell>
          <cell r="FJ99">
            <v>15477</v>
          </cell>
          <cell r="FK99">
            <v>15477</v>
          </cell>
          <cell r="FL99">
            <v>3396.6</v>
          </cell>
          <cell r="FM99">
            <v>78.92</v>
          </cell>
          <cell r="FN99">
            <v>6249.87</v>
          </cell>
          <cell r="FO99">
            <v>18749.61</v>
          </cell>
        </row>
        <row r="100">
          <cell r="AI100" t="str">
            <v>Ул. Таллинская дом 14</v>
          </cell>
          <cell r="AJ100">
            <v>18749.609375</v>
          </cell>
          <cell r="AK100">
            <v>1525.8</v>
          </cell>
          <cell r="AL100">
            <v>998.3</v>
          </cell>
          <cell r="AM100">
            <v>3</v>
          </cell>
          <cell r="AN100">
            <v>3</v>
          </cell>
          <cell r="AO100" t="str">
            <v>АО УЖХ Демского района</v>
          </cell>
          <cell r="AP100">
            <v>1525.3</v>
          </cell>
          <cell r="AQ100">
            <v>0</v>
          </cell>
          <cell r="AR100">
            <v>140.9</v>
          </cell>
          <cell r="AS100">
            <v>11.4</v>
          </cell>
          <cell r="AT100">
            <v>36</v>
          </cell>
          <cell r="AU100">
            <v>4</v>
          </cell>
          <cell r="AV100">
            <v>77</v>
          </cell>
          <cell r="AW100">
            <v>0</v>
          </cell>
          <cell r="AX100">
            <v>0</v>
          </cell>
          <cell r="AY100">
            <v>498.6</v>
          </cell>
          <cell r="AZ100">
            <v>804.4</v>
          </cell>
          <cell r="BA100">
            <v>3395.4</v>
          </cell>
          <cell r="BB100">
            <v>3395.3984375</v>
          </cell>
          <cell r="BC100" t="str">
            <v>Управляющая компания</v>
          </cell>
          <cell r="BD100" t="str">
            <v>1. Жилой дом</v>
          </cell>
          <cell r="BE100">
            <v>49.4</v>
          </cell>
          <cell r="BF100" t="str">
            <v>1.Оцинкованный</v>
          </cell>
          <cell r="BG100">
            <v>49.399993896484375</v>
          </cell>
          <cell r="BH100" t="str">
            <v>3.Водяной</v>
          </cell>
          <cell r="BI100" t="str">
            <v>МУП УИС</v>
          </cell>
          <cell r="BJ100" t="str">
            <v>1. Чугун</v>
          </cell>
          <cell r="BK100">
            <v>49.399993896484375</v>
          </cell>
          <cell r="BL100" t="str">
            <v>2.Кирпич</v>
          </cell>
          <cell r="BM100">
            <v>22647</v>
          </cell>
          <cell r="BN100">
            <v>36</v>
          </cell>
          <cell r="BO100" t="str">
            <v>Оборудован</v>
          </cell>
          <cell r="BP100" t="str">
            <v>1.Абсоцемент(шифер)</v>
          </cell>
          <cell r="BQ100" t="str">
            <v>1.Скатная</v>
          </cell>
          <cell r="BR100">
            <v>966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 t="str">
            <v>3.Частный жилищный фонд</v>
          </cell>
          <cell r="BX100">
            <v>36</v>
          </cell>
          <cell r="BY100">
            <v>0</v>
          </cell>
          <cell r="BZ100" t="str">
            <v>2-я</v>
          </cell>
          <cell r="CA100">
            <v>1</v>
          </cell>
          <cell r="CB100">
            <v>27.01</v>
          </cell>
          <cell r="CC100">
            <v>1</v>
          </cell>
          <cell r="CD100">
            <v>1</v>
          </cell>
          <cell r="CE100">
            <v>1525.3</v>
          </cell>
          <cell r="CF100" t="str">
            <v>ООО "Гранд"</v>
          </cell>
          <cell r="CG100">
            <v>36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38</v>
          </cell>
          <cell r="CN100">
            <v>152.30000000000001</v>
          </cell>
          <cell r="CO100">
            <v>0</v>
          </cell>
          <cell r="CP100">
            <v>152.30000000000001</v>
          </cell>
          <cell r="CQ100">
            <v>152.2999267578125</v>
          </cell>
          <cell r="CR100">
            <v>152.2999267578125</v>
          </cell>
          <cell r="CS100">
            <v>0</v>
          </cell>
          <cell r="CT100">
            <v>36</v>
          </cell>
          <cell r="CU100">
            <v>0</v>
          </cell>
          <cell r="CV100">
            <v>30</v>
          </cell>
          <cell r="CW100">
            <v>0</v>
          </cell>
          <cell r="CX100">
            <v>1</v>
          </cell>
          <cell r="CY100">
            <v>1</v>
          </cell>
          <cell r="CZ100">
            <v>8170</v>
          </cell>
          <cell r="DA100" t="str">
            <v>Демский</v>
          </cell>
          <cell r="DB100" t="str">
            <v>3.Сборные ж/б панели</v>
          </cell>
          <cell r="DC100">
            <v>8170</v>
          </cell>
          <cell r="DD100">
            <v>8170</v>
          </cell>
          <cell r="DE100">
            <v>8170</v>
          </cell>
          <cell r="DF100">
            <v>8170</v>
          </cell>
          <cell r="DG100">
            <v>8170</v>
          </cell>
          <cell r="DH100">
            <v>8170</v>
          </cell>
          <cell r="DI100">
            <v>8170</v>
          </cell>
          <cell r="DJ100">
            <v>8170</v>
          </cell>
          <cell r="DK100">
            <v>0</v>
          </cell>
          <cell r="DL100">
            <v>0</v>
          </cell>
          <cell r="DM100">
            <v>3305412</v>
          </cell>
          <cell r="DN100">
            <v>2</v>
          </cell>
          <cell r="DO100">
            <v>2</v>
          </cell>
          <cell r="DP100" t="str">
            <v>УЖХ</v>
          </cell>
          <cell r="DQ100">
            <v>40435</v>
          </cell>
          <cell r="DR100">
            <v>0</v>
          </cell>
          <cell r="DS100">
            <v>36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 t="str">
            <v>3.Зависимая схема</v>
          </cell>
          <cell r="EE100" t="str">
            <v>Верхний</v>
          </cell>
          <cell r="EF100">
            <v>0</v>
          </cell>
          <cell r="EG100">
            <v>0</v>
          </cell>
          <cell r="EH100">
            <v>50</v>
          </cell>
          <cell r="EI100">
            <v>3345.4</v>
          </cell>
          <cell r="EJ100">
            <v>312.7</v>
          </cell>
          <cell r="EK100">
            <v>437.7</v>
          </cell>
          <cell r="EL100">
            <v>27</v>
          </cell>
          <cell r="EM100">
            <v>27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27</v>
          </cell>
          <cell r="FB100">
            <v>1</v>
          </cell>
          <cell r="FC100">
            <v>1</v>
          </cell>
          <cell r="FD100">
            <v>0</v>
          </cell>
          <cell r="FE100">
            <v>0</v>
          </cell>
          <cell r="FF100">
            <v>14.56</v>
          </cell>
          <cell r="FG100">
            <v>3</v>
          </cell>
          <cell r="FH100">
            <v>3</v>
          </cell>
          <cell r="FI100">
            <v>44013</v>
          </cell>
          <cell r="FJ100">
            <v>15477</v>
          </cell>
          <cell r="FK100">
            <v>15477</v>
          </cell>
          <cell r="FL100">
            <v>2176.6999999999998</v>
          </cell>
          <cell r="FM100">
            <v>78.92</v>
          </cell>
          <cell r="FN100">
            <v>3813.48</v>
          </cell>
          <cell r="FO100">
            <v>11440.44</v>
          </cell>
        </row>
        <row r="101">
          <cell r="AI101" t="str">
            <v>Ул. Таллинская дом 16</v>
          </cell>
          <cell r="AJ101">
            <v>11440.4375</v>
          </cell>
          <cell r="AK101">
            <v>806.2</v>
          </cell>
          <cell r="AL101">
            <v>524.20000000000005</v>
          </cell>
          <cell r="AM101">
            <v>2</v>
          </cell>
          <cell r="AN101">
            <v>2</v>
          </cell>
          <cell r="AO101" t="str">
            <v>АО УЖХ Демского района</v>
          </cell>
          <cell r="AP101">
            <v>766.35</v>
          </cell>
          <cell r="AQ101">
            <v>41.25</v>
          </cell>
          <cell r="AR101">
            <v>74</v>
          </cell>
          <cell r="AS101">
            <v>4.4000000000000004</v>
          </cell>
          <cell r="AT101">
            <v>17</v>
          </cell>
          <cell r="AU101">
            <v>3</v>
          </cell>
          <cell r="AV101">
            <v>30</v>
          </cell>
          <cell r="AW101">
            <v>0</v>
          </cell>
          <cell r="AX101">
            <v>0</v>
          </cell>
          <cell r="AY101">
            <v>68.8</v>
          </cell>
          <cell r="AZ101">
            <v>490.05</v>
          </cell>
          <cell r="BA101">
            <v>2121</v>
          </cell>
          <cell r="BB101">
            <v>2121</v>
          </cell>
          <cell r="BC101" t="str">
            <v>Непосредственное</v>
          </cell>
          <cell r="BD101" t="str">
            <v>1. Жилой дом</v>
          </cell>
          <cell r="BE101">
            <v>52.6</v>
          </cell>
          <cell r="BF101" t="str">
            <v>2.Чёрный</v>
          </cell>
          <cell r="BG101">
            <v>52.5999755859375</v>
          </cell>
          <cell r="BH101" t="str">
            <v>3.Водяной</v>
          </cell>
          <cell r="BI101" t="str">
            <v>МУП УИС</v>
          </cell>
          <cell r="BJ101" t="str">
            <v>1. Чугун</v>
          </cell>
          <cell r="BK101">
            <v>52.5999755859375</v>
          </cell>
          <cell r="BL101" t="str">
            <v>2.Кирпич</v>
          </cell>
          <cell r="BM101">
            <v>21186</v>
          </cell>
          <cell r="BN101">
            <v>17</v>
          </cell>
          <cell r="BO101" t="str">
            <v>Оборудован</v>
          </cell>
          <cell r="BP101" t="str">
            <v>1.Абсоцемент(шифер)</v>
          </cell>
          <cell r="BQ101" t="str">
            <v>1.Скатная</v>
          </cell>
          <cell r="BR101">
            <v>547</v>
          </cell>
          <cell r="BS101">
            <v>0</v>
          </cell>
          <cell r="BT101">
            <v>0</v>
          </cell>
          <cell r="BU101">
            <v>589</v>
          </cell>
          <cell r="BV101">
            <v>589</v>
          </cell>
          <cell r="BW101" t="str">
            <v>3.Частный жилищный фонд</v>
          </cell>
          <cell r="BX101">
            <v>17</v>
          </cell>
          <cell r="BY101">
            <v>0</v>
          </cell>
          <cell r="BZ101" t="str">
            <v>2-я</v>
          </cell>
          <cell r="CA101">
            <v>1</v>
          </cell>
          <cell r="CB101">
            <v>27.01</v>
          </cell>
          <cell r="CC101">
            <v>1</v>
          </cell>
          <cell r="CD101">
            <v>1</v>
          </cell>
          <cell r="CE101">
            <v>1</v>
          </cell>
          <cell r="CF101" t="str">
            <v>ООО "Гранд"</v>
          </cell>
          <cell r="CG101">
            <v>16</v>
          </cell>
          <cell r="CH101">
            <v>1</v>
          </cell>
          <cell r="CI101">
            <v>1</v>
          </cell>
          <cell r="CJ101">
            <v>1</v>
          </cell>
          <cell r="CK101">
            <v>0</v>
          </cell>
          <cell r="CL101">
            <v>1</v>
          </cell>
          <cell r="CM101">
            <v>24</v>
          </cell>
          <cell r="CN101">
            <v>78.400000000000006</v>
          </cell>
          <cell r="CO101">
            <v>0</v>
          </cell>
          <cell r="CP101">
            <v>667.4</v>
          </cell>
          <cell r="CQ101">
            <v>667.39990234375</v>
          </cell>
          <cell r="CR101">
            <v>667.39990234375</v>
          </cell>
          <cell r="CS101">
            <v>0</v>
          </cell>
          <cell r="CT101">
            <v>17</v>
          </cell>
          <cell r="CU101">
            <v>0</v>
          </cell>
          <cell r="CV101">
            <v>0</v>
          </cell>
          <cell r="CW101">
            <v>0</v>
          </cell>
          <cell r="CX101">
            <v>1</v>
          </cell>
          <cell r="CY101">
            <v>1</v>
          </cell>
          <cell r="CZ101">
            <v>4141</v>
          </cell>
          <cell r="DA101" t="str">
            <v>Демский</v>
          </cell>
          <cell r="DB101" t="str">
            <v>3.Сборные ж/б панели</v>
          </cell>
          <cell r="DC101">
            <v>4141</v>
          </cell>
          <cell r="DD101">
            <v>4141</v>
          </cell>
          <cell r="DE101">
            <v>4141</v>
          </cell>
          <cell r="DF101">
            <v>4141</v>
          </cell>
          <cell r="DG101">
            <v>4141</v>
          </cell>
          <cell r="DH101">
            <v>4141</v>
          </cell>
          <cell r="DI101">
            <v>4141</v>
          </cell>
          <cell r="DJ101">
            <v>4141</v>
          </cell>
          <cell r="DK101">
            <v>0</v>
          </cell>
          <cell r="DL101">
            <v>0</v>
          </cell>
          <cell r="DM101">
            <v>1640924</v>
          </cell>
          <cell r="DN101">
            <v>2</v>
          </cell>
          <cell r="DO101">
            <v>2</v>
          </cell>
          <cell r="DP101" t="str">
            <v>УЖХ</v>
          </cell>
          <cell r="DQ101">
            <v>38517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 t="str">
            <v>3.Зависимая схема</v>
          </cell>
          <cell r="EE101" t="str">
            <v>Верхний</v>
          </cell>
          <cell r="EF101">
            <v>0</v>
          </cell>
          <cell r="EG101">
            <v>0</v>
          </cell>
          <cell r="EH101">
            <v>0</v>
          </cell>
          <cell r="EI101">
            <v>2121</v>
          </cell>
          <cell r="EJ101">
            <v>173.35</v>
          </cell>
          <cell r="EK101">
            <v>260.8</v>
          </cell>
          <cell r="EL101">
            <v>260.7998046875</v>
          </cell>
          <cell r="EM101">
            <v>55.9</v>
          </cell>
          <cell r="EN101">
            <v>0</v>
          </cell>
          <cell r="EO101">
            <v>0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T101">
            <v>0</v>
          </cell>
          <cell r="EU101">
            <v>0</v>
          </cell>
          <cell r="EV101">
            <v>0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15.18</v>
          </cell>
          <cell r="FG101">
            <v>15.17999267578125</v>
          </cell>
          <cell r="FH101">
            <v>15.17999267578125</v>
          </cell>
          <cell r="FI101">
            <v>43647</v>
          </cell>
          <cell r="FJ101">
            <v>15477</v>
          </cell>
          <cell r="FK101">
            <v>15477</v>
          </cell>
          <cell r="FL101">
            <v>953.4</v>
          </cell>
          <cell r="FM101">
            <v>78.92</v>
          </cell>
          <cell r="FN101">
            <v>1800.8100000000002</v>
          </cell>
          <cell r="FO101">
            <v>5402.43</v>
          </cell>
        </row>
        <row r="102">
          <cell r="AI102" t="str">
            <v>Ул. Таллинская дом 18</v>
          </cell>
          <cell r="AJ102">
            <v>5402.4296875</v>
          </cell>
          <cell r="AK102">
            <v>830.5</v>
          </cell>
          <cell r="AL102">
            <v>547.5</v>
          </cell>
          <cell r="AM102">
            <v>2</v>
          </cell>
          <cell r="AN102">
            <v>2</v>
          </cell>
          <cell r="AO102" t="str">
            <v>АО УЖХ Демского района</v>
          </cell>
          <cell r="AP102">
            <v>801.15</v>
          </cell>
          <cell r="AQ102">
            <v>27.65</v>
          </cell>
          <cell r="AR102">
            <v>48.3</v>
          </cell>
          <cell r="AS102">
            <v>4.4000000000000004</v>
          </cell>
          <cell r="AT102">
            <v>17</v>
          </cell>
          <cell r="AU102">
            <v>3</v>
          </cell>
          <cell r="AV102">
            <v>34</v>
          </cell>
          <cell r="AW102">
            <v>0</v>
          </cell>
          <cell r="AX102">
            <v>0</v>
          </cell>
          <cell r="AY102">
            <v>46.7</v>
          </cell>
          <cell r="AZ102">
            <v>563</v>
          </cell>
          <cell r="BA102">
            <v>2208.3000000000002</v>
          </cell>
          <cell r="BB102">
            <v>2208.298828125</v>
          </cell>
          <cell r="BC102" t="str">
            <v>Непосредственное</v>
          </cell>
          <cell r="BD102" t="str">
            <v>1. Жилой дом</v>
          </cell>
          <cell r="BE102">
            <v>52.6</v>
          </cell>
          <cell r="BF102" t="str">
            <v>1.Оцинкованный</v>
          </cell>
          <cell r="BG102">
            <v>52.5999755859375</v>
          </cell>
          <cell r="BH102" t="str">
            <v>3.Водяной</v>
          </cell>
          <cell r="BI102" t="str">
            <v>МУП УИС</v>
          </cell>
          <cell r="BJ102" t="str">
            <v>1. Чугун</v>
          </cell>
          <cell r="BK102">
            <v>52.5999755859375</v>
          </cell>
          <cell r="BL102" t="str">
            <v>2.Кирпич</v>
          </cell>
          <cell r="BM102">
            <v>21186</v>
          </cell>
          <cell r="BN102">
            <v>17</v>
          </cell>
          <cell r="BO102" t="str">
            <v>Оборудован</v>
          </cell>
          <cell r="BP102" t="str">
            <v>8.Профнастил</v>
          </cell>
          <cell r="BQ102" t="str">
            <v>1.Скатная</v>
          </cell>
          <cell r="BR102">
            <v>585</v>
          </cell>
          <cell r="BS102">
            <v>0</v>
          </cell>
          <cell r="BT102">
            <v>0</v>
          </cell>
          <cell r="BU102">
            <v>379</v>
          </cell>
          <cell r="BV102">
            <v>379</v>
          </cell>
          <cell r="BW102" t="str">
            <v>3.Частный жилищный фонд</v>
          </cell>
          <cell r="BX102">
            <v>17</v>
          </cell>
          <cell r="BY102">
            <v>0</v>
          </cell>
          <cell r="BZ102" t="str">
            <v>2-я</v>
          </cell>
          <cell r="CA102">
            <v>1</v>
          </cell>
          <cell r="CB102">
            <v>27.01</v>
          </cell>
          <cell r="CC102">
            <v>1</v>
          </cell>
          <cell r="CD102">
            <v>1</v>
          </cell>
          <cell r="CE102">
            <v>1</v>
          </cell>
          <cell r="CF102" t="str">
            <v>ООО "Гранд"</v>
          </cell>
          <cell r="CG102">
            <v>16</v>
          </cell>
          <cell r="CH102">
            <v>1</v>
          </cell>
          <cell r="CI102">
            <v>1</v>
          </cell>
          <cell r="CJ102">
            <v>1</v>
          </cell>
          <cell r="CK102">
            <v>0</v>
          </cell>
          <cell r="CL102">
            <v>0</v>
          </cell>
          <cell r="CM102">
            <v>21</v>
          </cell>
          <cell r="CN102">
            <v>52.7</v>
          </cell>
          <cell r="CO102">
            <v>0</v>
          </cell>
          <cell r="CP102">
            <v>431.7</v>
          </cell>
          <cell r="CQ102">
            <v>431.699951171875</v>
          </cell>
          <cell r="CR102">
            <v>431.699951171875</v>
          </cell>
          <cell r="CS102">
            <v>0</v>
          </cell>
          <cell r="CT102">
            <v>17</v>
          </cell>
          <cell r="CU102">
            <v>0</v>
          </cell>
          <cell r="CV102">
            <v>0</v>
          </cell>
          <cell r="CW102">
            <v>0</v>
          </cell>
          <cell r="CX102">
            <v>1</v>
          </cell>
          <cell r="CY102">
            <v>1</v>
          </cell>
          <cell r="CZ102">
            <v>4162</v>
          </cell>
          <cell r="DA102" t="str">
            <v>Демский</v>
          </cell>
          <cell r="DB102" t="str">
            <v>3.Сборные ж/б панели</v>
          </cell>
          <cell r="DC102">
            <v>4162</v>
          </cell>
          <cell r="DD102">
            <v>4162</v>
          </cell>
          <cell r="DE102">
            <v>4162</v>
          </cell>
          <cell r="DF102">
            <v>4162</v>
          </cell>
          <cell r="DG102">
            <v>4162</v>
          </cell>
          <cell r="DH102">
            <v>4162</v>
          </cell>
          <cell r="DI102">
            <v>4162</v>
          </cell>
          <cell r="DJ102">
            <v>4162</v>
          </cell>
          <cell r="DK102">
            <v>0</v>
          </cell>
          <cell r="DL102">
            <v>0</v>
          </cell>
          <cell r="DM102">
            <v>1640924</v>
          </cell>
          <cell r="DN102">
            <v>2</v>
          </cell>
          <cell r="DO102">
            <v>2</v>
          </cell>
          <cell r="DP102" t="str">
            <v>УЖХ</v>
          </cell>
          <cell r="DQ102">
            <v>35781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 t="str">
            <v>3.Зависимая схема</v>
          </cell>
          <cell r="EE102" t="str">
            <v>Верхний</v>
          </cell>
          <cell r="EF102">
            <v>0</v>
          </cell>
          <cell r="EG102">
            <v>0</v>
          </cell>
          <cell r="EH102">
            <v>20</v>
          </cell>
          <cell r="EI102">
            <v>2188.3000000000002</v>
          </cell>
          <cell r="EJ102">
            <v>213.4</v>
          </cell>
          <cell r="EK102">
            <v>241.2</v>
          </cell>
          <cell r="EL102">
            <v>52.5</v>
          </cell>
          <cell r="EM102">
            <v>55.9</v>
          </cell>
          <cell r="EN102">
            <v>0</v>
          </cell>
          <cell r="EO102">
            <v>0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15.18</v>
          </cell>
          <cell r="FG102">
            <v>15.17999267578125</v>
          </cell>
          <cell r="FH102">
            <v>15.17999267578125</v>
          </cell>
          <cell r="FI102">
            <v>43647</v>
          </cell>
          <cell r="FJ102">
            <v>15477</v>
          </cell>
          <cell r="FK102">
            <v>15477</v>
          </cell>
          <cell r="FL102">
            <v>929.9</v>
          </cell>
          <cell r="FM102">
            <v>78.92</v>
          </cell>
          <cell r="FN102">
            <v>1800.8100000000002</v>
          </cell>
          <cell r="FO102">
            <v>5402.43</v>
          </cell>
        </row>
        <row r="103">
          <cell r="AI103" t="str">
            <v>Ул. Таллинская дом 20</v>
          </cell>
          <cell r="AJ103">
            <v>5402.4296875</v>
          </cell>
          <cell r="AK103">
            <v>867.6</v>
          </cell>
          <cell r="AL103">
            <v>570.70000000000005</v>
          </cell>
          <cell r="AM103">
            <v>2</v>
          </cell>
          <cell r="AN103">
            <v>2</v>
          </cell>
          <cell r="AO103" t="str">
            <v>АО УЖХ Демского района</v>
          </cell>
          <cell r="AP103">
            <v>835.5</v>
          </cell>
          <cell r="AQ103">
            <v>32.1</v>
          </cell>
          <cell r="AR103">
            <v>73.5</v>
          </cell>
          <cell r="AS103">
            <v>4.5999999999999996</v>
          </cell>
          <cell r="AT103">
            <v>18</v>
          </cell>
          <cell r="AU103">
            <v>3</v>
          </cell>
          <cell r="AV103">
            <v>40</v>
          </cell>
          <cell r="AW103">
            <v>0</v>
          </cell>
          <cell r="AX103">
            <v>0</v>
          </cell>
          <cell r="AY103">
            <v>0</v>
          </cell>
          <cell r="AZ103">
            <v>671.9</v>
          </cell>
          <cell r="BA103">
            <v>1032.3</v>
          </cell>
          <cell r="BB103">
            <v>1032.2998046875</v>
          </cell>
          <cell r="BC103" t="str">
            <v>Непосредственное</v>
          </cell>
          <cell r="BD103" t="str">
            <v>1. Жилой дом</v>
          </cell>
          <cell r="BE103">
            <v>54.2</v>
          </cell>
          <cell r="BF103" t="str">
            <v>2.Чёрный</v>
          </cell>
          <cell r="BG103">
            <v>54.199981689453125</v>
          </cell>
          <cell r="BH103" t="str">
            <v>3.Водяной</v>
          </cell>
          <cell r="BI103" t="str">
            <v>МУП УИС</v>
          </cell>
          <cell r="BJ103" t="str">
            <v>1. Чугун</v>
          </cell>
          <cell r="BK103">
            <v>54.199981689453125</v>
          </cell>
          <cell r="BL103" t="str">
            <v>2.Кирпич</v>
          </cell>
          <cell r="BM103">
            <v>20455</v>
          </cell>
          <cell r="BN103">
            <v>18</v>
          </cell>
          <cell r="BO103" t="str">
            <v>Оборудован</v>
          </cell>
          <cell r="BP103" t="str">
            <v>8.Профнастил</v>
          </cell>
          <cell r="BQ103" t="str">
            <v>1.Скатная</v>
          </cell>
          <cell r="BR103">
            <v>585</v>
          </cell>
          <cell r="BS103">
            <v>420.4</v>
          </cell>
          <cell r="BT103">
            <v>420.39990234375</v>
          </cell>
          <cell r="BU103">
            <v>420.39990234375</v>
          </cell>
          <cell r="BV103">
            <v>0</v>
          </cell>
          <cell r="BW103" t="str">
            <v>3.Частный жилищный фонд</v>
          </cell>
          <cell r="BX103">
            <v>18</v>
          </cell>
          <cell r="BY103">
            <v>0</v>
          </cell>
          <cell r="BZ103" t="str">
            <v>2-я</v>
          </cell>
          <cell r="CA103">
            <v>1</v>
          </cell>
          <cell r="CB103">
            <v>27.01</v>
          </cell>
          <cell r="CC103">
            <v>1</v>
          </cell>
          <cell r="CD103">
            <v>1</v>
          </cell>
          <cell r="CE103">
            <v>1</v>
          </cell>
          <cell r="CF103" t="str">
            <v>ООО "Гранд"</v>
          </cell>
          <cell r="CG103">
            <v>17</v>
          </cell>
          <cell r="CH103">
            <v>1</v>
          </cell>
          <cell r="CI103">
            <v>1</v>
          </cell>
          <cell r="CJ103">
            <v>1</v>
          </cell>
          <cell r="CK103">
            <v>0</v>
          </cell>
          <cell r="CL103">
            <v>0</v>
          </cell>
          <cell r="CM103">
            <v>21</v>
          </cell>
          <cell r="CN103">
            <v>78.099999999999994</v>
          </cell>
          <cell r="CO103">
            <v>0</v>
          </cell>
          <cell r="CP103">
            <v>498.5</v>
          </cell>
          <cell r="CQ103">
            <v>498.5</v>
          </cell>
          <cell r="CR103">
            <v>498.5</v>
          </cell>
          <cell r="CS103">
            <v>0</v>
          </cell>
          <cell r="CT103">
            <v>18</v>
          </cell>
          <cell r="CU103">
            <v>0</v>
          </cell>
          <cell r="CV103">
            <v>0</v>
          </cell>
          <cell r="CW103">
            <v>0</v>
          </cell>
          <cell r="CX103">
            <v>1</v>
          </cell>
          <cell r="CY103">
            <v>1</v>
          </cell>
          <cell r="CZ103">
            <v>4128</v>
          </cell>
          <cell r="DA103" t="str">
            <v>Демский</v>
          </cell>
          <cell r="DB103" t="str">
            <v>3.Сборные ж/б панели</v>
          </cell>
          <cell r="DC103">
            <v>4128</v>
          </cell>
          <cell r="DD103">
            <v>4128</v>
          </cell>
          <cell r="DE103">
            <v>4128</v>
          </cell>
          <cell r="DF103">
            <v>4128</v>
          </cell>
          <cell r="DG103">
            <v>4128</v>
          </cell>
          <cell r="DH103">
            <v>4128</v>
          </cell>
          <cell r="DI103">
            <v>4128</v>
          </cell>
          <cell r="DJ103">
            <v>4128</v>
          </cell>
          <cell r="DK103">
            <v>0</v>
          </cell>
          <cell r="DL103">
            <v>0</v>
          </cell>
          <cell r="DM103">
            <v>2025331</v>
          </cell>
          <cell r="DN103">
            <v>1</v>
          </cell>
          <cell r="DO103">
            <v>1</v>
          </cell>
          <cell r="DP103" t="str">
            <v>УЖХ</v>
          </cell>
          <cell r="DQ103">
            <v>35782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 t="str">
            <v>3.Зависимая схема</v>
          </cell>
          <cell r="EE103" t="str">
            <v>Верхний</v>
          </cell>
          <cell r="EF103">
            <v>0</v>
          </cell>
          <cell r="EG103">
            <v>0</v>
          </cell>
          <cell r="EH103">
            <v>0</v>
          </cell>
          <cell r="EI103">
            <v>1032.3</v>
          </cell>
          <cell r="EJ103">
            <v>182.2</v>
          </cell>
          <cell r="EK103">
            <v>456.8</v>
          </cell>
          <cell r="EL103">
            <v>456.7998046875</v>
          </cell>
          <cell r="EM103">
            <v>32.9</v>
          </cell>
          <cell r="EN103">
            <v>0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15.09</v>
          </cell>
          <cell r="FG103">
            <v>15.089996337890625</v>
          </cell>
          <cell r="FH103" t="str">
            <v>С УЛК (ЖЭУ)</v>
          </cell>
          <cell r="FI103">
            <v>43647</v>
          </cell>
          <cell r="FJ103">
            <v>15477</v>
          </cell>
          <cell r="FK103">
            <v>15477</v>
          </cell>
          <cell r="FL103">
            <v>1366.1</v>
          </cell>
          <cell r="FM103">
            <v>78.92</v>
          </cell>
          <cell r="FN103">
            <v>1906.74</v>
          </cell>
          <cell r="FO103">
            <v>5720.22</v>
          </cell>
        </row>
        <row r="104">
          <cell r="AI104" t="str">
            <v>Ул. Таллинская дом 21</v>
          </cell>
          <cell r="AJ104">
            <v>5720.21875</v>
          </cell>
          <cell r="AK104">
            <v>3547.1</v>
          </cell>
          <cell r="AL104">
            <v>2325</v>
          </cell>
          <cell r="AM104">
            <v>4</v>
          </cell>
          <cell r="AN104">
            <v>4</v>
          </cell>
          <cell r="AO104" t="str">
            <v>АО УЖХ Демского района</v>
          </cell>
          <cell r="AP104">
            <v>3470.3</v>
          </cell>
          <cell r="AQ104">
            <v>76.599999999999994</v>
          </cell>
          <cell r="AR104">
            <v>190</v>
          </cell>
          <cell r="AS104">
            <v>9</v>
          </cell>
          <cell r="AT104">
            <v>80</v>
          </cell>
          <cell r="AU104">
            <v>5</v>
          </cell>
          <cell r="AV104">
            <v>183</v>
          </cell>
          <cell r="AW104">
            <v>0</v>
          </cell>
          <cell r="AX104">
            <v>0</v>
          </cell>
          <cell r="AY104">
            <v>0</v>
          </cell>
          <cell r="AZ104">
            <v>1405.8</v>
          </cell>
          <cell r="BA104">
            <v>2042.6</v>
          </cell>
          <cell r="BB104">
            <v>2042.599609375</v>
          </cell>
          <cell r="BC104" t="str">
            <v>Управляющая компания</v>
          </cell>
          <cell r="BD104" t="str">
            <v>1. Жилой дом</v>
          </cell>
          <cell r="BE104">
            <v>49.4</v>
          </cell>
          <cell r="BF104" t="str">
            <v>2.Чёрный</v>
          </cell>
          <cell r="BG104">
            <v>49.399993896484375</v>
          </cell>
          <cell r="BH104" t="str">
            <v>3.Водяной</v>
          </cell>
          <cell r="BI104" t="str">
            <v>МУП УИС</v>
          </cell>
          <cell r="BJ104" t="str">
            <v>1. Чугун</v>
          </cell>
          <cell r="BK104">
            <v>49.399993896484375</v>
          </cell>
          <cell r="BL104" t="str">
            <v>8.Сборные ж/б</v>
          </cell>
          <cell r="BM104">
            <v>22647</v>
          </cell>
          <cell r="BN104">
            <v>80</v>
          </cell>
          <cell r="BO104" t="str">
            <v>Оборудован</v>
          </cell>
          <cell r="BP104" t="str">
            <v>8.Профнастил</v>
          </cell>
          <cell r="BQ104" t="str">
            <v>1.Скатная</v>
          </cell>
          <cell r="BR104">
            <v>1140</v>
          </cell>
          <cell r="BS104">
            <v>874</v>
          </cell>
          <cell r="BT104">
            <v>874</v>
          </cell>
          <cell r="BU104">
            <v>864</v>
          </cell>
          <cell r="BV104">
            <v>864</v>
          </cell>
          <cell r="BW104" t="str">
            <v>3.Частный жилищный фонд</v>
          </cell>
          <cell r="BX104">
            <v>80</v>
          </cell>
          <cell r="BY104">
            <v>0</v>
          </cell>
          <cell r="BZ104" t="str">
            <v>2-я</v>
          </cell>
          <cell r="CA104">
            <v>1</v>
          </cell>
          <cell r="CB104">
            <v>27.01</v>
          </cell>
          <cell r="CC104">
            <v>1</v>
          </cell>
          <cell r="CD104">
            <v>1</v>
          </cell>
          <cell r="CE104">
            <v>3546.9</v>
          </cell>
          <cell r="CF104" t="str">
            <v>ООО "Сфера"</v>
          </cell>
          <cell r="CG104">
            <v>78</v>
          </cell>
          <cell r="CH104">
            <v>2</v>
          </cell>
          <cell r="CI104">
            <v>2</v>
          </cell>
          <cell r="CJ104">
            <v>2</v>
          </cell>
          <cell r="CK104">
            <v>0</v>
          </cell>
          <cell r="CL104">
            <v>1</v>
          </cell>
          <cell r="CM104">
            <v>81</v>
          </cell>
          <cell r="CN104">
            <v>199</v>
          </cell>
          <cell r="CO104">
            <v>0</v>
          </cell>
          <cell r="CP104">
            <v>1937</v>
          </cell>
          <cell r="CQ104">
            <v>1937</v>
          </cell>
          <cell r="CR104">
            <v>1937</v>
          </cell>
          <cell r="CS104">
            <v>1</v>
          </cell>
          <cell r="CT104">
            <v>80</v>
          </cell>
          <cell r="CU104">
            <v>0</v>
          </cell>
          <cell r="CV104">
            <v>62</v>
          </cell>
          <cell r="CW104">
            <v>0</v>
          </cell>
          <cell r="CX104">
            <v>1</v>
          </cell>
          <cell r="CY104">
            <v>1</v>
          </cell>
          <cell r="CZ104">
            <v>12405</v>
          </cell>
          <cell r="DA104" t="str">
            <v>Демский</v>
          </cell>
          <cell r="DB104" t="str">
            <v>3.Сборные ж/б панели</v>
          </cell>
          <cell r="DC104">
            <v>12405</v>
          </cell>
          <cell r="DD104">
            <v>12405</v>
          </cell>
          <cell r="DE104">
            <v>12405</v>
          </cell>
          <cell r="DF104">
            <v>12405</v>
          </cell>
          <cell r="DG104">
            <v>12405</v>
          </cell>
          <cell r="DH104">
            <v>12405</v>
          </cell>
          <cell r="DI104">
            <v>12405</v>
          </cell>
          <cell r="DJ104">
            <v>12405</v>
          </cell>
          <cell r="DK104">
            <v>0</v>
          </cell>
          <cell r="DL104">
            <v>0</v>
          </cell>
          <cell r="DM104">
            <v>5471372</v>
          </cell>
          <cell r="DN104">
            <v>4</v>
          </cell>
          <cell r="DO104" t="str">
            <v>Отопление</v>
          </cell>
          <cell r="DP104" t="str">
            <v>УЖХ</v>
          </cell>
          <cell r="DQ104">
            <v>35781</v>
          </cell>
          <cell r="DR104">
            <v>0</v>
          </cell>
          <cell r="DS104">
            <v>80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 t="str">
            <v>3.Зависимая схема</v>
          </cell>
          <cell r="EE104" t="str">
            <v>Верхний</v>
          </cell>
          <cell r="EF104">
            <v>0</v>
          </cell>
          <cell r="EG104">
            <v>0</v>
          </cell>
          <cell r="EH104">
            <v>75</v>
          </cell>
          <cell r="EI104">
            <v>1967.6</v>
          </cell>
          <cell r="EJ104">
            <v>0</v>
          </cell>
          <cell r="EK104">
            <v>302.89</v>
          </cell>
          <cell r="EL104">
            <v>300</v>
          </cell>
          <cell r="EM104">
            <v>397.6</v>
          </cell>
          <cell r="EN104">
            <v>0</v>
          </cell>
          <cell r="EO104">
            <v>138</v>
          </cell>
          <cell r="EP104">
            <v>1</v>
          </cell>
          <cell r="EQ104">
            <v>1</v>
          </cell>
          <cell r="ER104">
            <v>0</v>
          </cell>
          <cell r="ES104">
            <v>177.31</v>
          </cell>
          <cell r="ET104">
            <v>1</v>
          </cell>
          <cell r="EU104">
            <v>1</v>
          </cell>
          <cell r="EV104">
            <v>0</v>
          </cell>
          <cell r="EW104">
            <v>0</v>
          </cell>
          <cell r="EX104">
            <v>0</v>
          </cell>
          <cell r="EY104">
            <v>0</v>
          </cell>
          <cell r="EZ104">
            <v>0</v>
          </cell>
          <cell r="FA104">
            <v>90</v>
          </cell>
          <cell r="FB104">
            <v>1</v>
          </cell>
          <cell r="FC104">
            <v>1</v>
          </cell>
          <cell r="FD104">
            <v>0</v>
          </cell>
          <cell r="FE104">
            <v>0</v>
          </cell>
          <cell r="FF104">
            <v>15</v>
          </cell>
          <cell r="FG104">
            <v>15</v>
          </cell>
          <cell r="FH104" t="str">
            <v>С УЛК (ЖЭУ)</v>
          </cell>
          <cell r="FI104">
            <v>43862</v>
          </cell>
          <cell r="FJ104">
            <v>15477</v>
          </cell>
          <cell r="FK104">
            <v>15477</v>
          </cell>
          <cell r="FL104">
            <v>4620.1000000000004</v>
          </cell>
          <cell r="FM104">
            <v>78.92</v>
          </cell>
          <cell r="FN104">
            <v>8474.4000000000015</v>
          </cell>
          <cell r="FO104">
            <v>25423.200000000004</v>
          </cell>
        </row>
        <row r="105">
          <cell r="AI105" t="str">
            <v>Ул. Таллинская дом 21/а</v>
          </cell>
          <cell r="AJ105">
            <v>25423.1875</v>
          </cell>
          <cell r="AK105">
            <v>1485.6</v>
          </cell>
          <cell r="AL105">
            <v>954.2</v>
          </cell>
          <cell r="AM105">
            <v>2</v>
          </cell>
          <cell r="AN105">
            <v>2</v>
          </cell>
          <cell r="AO105" t="str">
            <v>АО УЖХ Демского района</v>
          </cell>
          <cell r="AP105">
            <v>1369.1</v>
          </cell>
          <cell r="AQ105">
            <v>117</v>
          </cell>
          <cell r="AR105">
            <v>124</v>
          </cell>
          <cell r="AS105">
            <v>0</v>
          </cell>
          <cell r="AT105">
            <v>37</v>
          </cell>
          <cell r="AU105">
            <v>5</v>
          </cell>
          <cell r="AV105">
            <v>79</v>
          </cell>
          <cell r="AW105">
            <v>0</v>
          </cell>
          <cell r="AX105">
            <v>0</v>
          </cell>
          <cell r="AY105">
            <v>137.69999999999999</v>
          </cell>
          <cell r="AZ105">
            <v>798.7</v>
          </cell>
          <cell r="BA105">
            <v>1762.2</v>
          </cell>
          <cell r="BB105">
            <v>1762.19921875</v>
          </cell>
          <cell r="BC105" t="str">
            <v>Управляющая компания</v>
          </cell>
          <cell r="BD105" t="str">
            <v>1. Жилой дом</v>
          </cell>
          <cell r="BE105">
            <v>48.6</v>
          </cell>
          <cell r="BF105" t="str">
            <v>2.Чёрный</v>
          </cell>
          <cell r="BG105">
            <v>48.5999755859375</v>
          </cell>
          <cell r="BH105" t="str">
            <v>3.Водяной</v>
          </cell>
          <cell r="BI105" t="str">
            <v>МУП УИС</v>
          </cell>
          <cell r="BJ105" t="str">
            <v>1. Чугун</v>
          </cell>
          <cell r="BK105">
            <v>48.5999755859375</v>
          </cell>
          <cell r="BL105" t="str">
            <v>2.Кирпич</v>
          </cell>
          <cell r="BM105">
            <v>23012</v>
          </cell>
          <cell r="BN105">
            <v>37</v>
          </cell>
          <cell r="BO105" t="str">
            <v>Оборудован</v>
          </cell>
          <cell r="BP105" t="str">
            <v>8.Профнастил</v>
          </cell>
          <cell r="BQ105" t="str">
            <v>1.Скатная</v>
          </cell>
          <cell r="BR105">
            <v>1148</v>
          </cell>
          <cell r="BS105">
            <v>450</v>
          </cell>
          <cell r="BT105">
            <v>450</v>
          </cell>
          <cell r="BU105">
            <v>864</v>
          </cell>
          <cell r="BV105">
            <v>864</v>
          </cell>
          <cell r="BW105" t="str">
            <v>3.Частный жилищный фонд</v>
          </cell>
          <cell r="BX105">
            <v>37</v>
          </cell>
          <cell r="BY105">
            <v>0</v>
          </cell>
          <cell r="BZ105" t="str">
            <v>2-я</v>
          </cell>
          <cell r="CA105">
            <v>1</v>
          </cell>
          <cell r="CB105">
            <v>27.01</v>
          </cell>
          <cell r="CC105">
            <v>1</v>
          </cell>
          <cell r="CD105">
            <v>1</v>
          </cell>
          <cell r="CE105">
            <v>1486.1</v>
          </cell>
          <cell r="CF105" t="str">
            <v>ООО "Сфера"</v>
          </cell>
          <cell r="CG105">
            <v>34</v>
          </cell>
          <cell r="CH105">
            <v>3</v>
          </cell>
          <cell r="CI105">
            <v>3</v>
          </cell>
          <cell r="CJ105">
            <v>3</v>
          </cell>
          <cell r="CK105">
            <v>0</v>
          </cell>
          <cell r="CL105">
            <v>1</v>
          </cell>
          <cell r="CM105">
            <v>37</v>
          </cell>
          <cell r="CN105">
            <v>124</v>
          </cell>
          <cell r="CO105">
            <v>0</v>
          </cell>
          <cell r="CP105">
            <v>1438</v>
          </cell>
          <cell r="CQ105">
            <v>1438</v>
          </cell>
          <cell r="CR105">
            <v>1438</v>
          </cell>
          <cell r="CS105">
            <v>1</v>
          </cell>
          <cell r="CT105">
            <v>37</v>
          </cell>
          <cell r="CU105">
            <v>0</v>
          </cell>
          <cell r="CV105">
            <v>29</v>
          </cell>
          <cell r="CW105">
            <v>0</v>
          </cell>
          <cell r="CX105">
            <v>1</v>
          </cell>
          <cell r="CY105">
            <v>1</v>
          </cell>
          <cell r="CZ105">
            <v>6505</v>
          </cell>
          <cell r="DA105" t="str">
            <v>Демский</v>
          </cell>
          <cell r="DB105" t="str">
            <v>3.Сборные ж/б панели</v>
          </cell>
          <cell r="DC105">
            <v>6505</v>
          </cell>
          <cell r="DD105">
            <v>6505</v>
          </cell>
          <cell r="DE105">
            <v>6505</v>
          </cell>
          <cell r="DF105">
            <v>6505</v>
          </cell>
          <cell r="DG105">
            <v>6505</v>
          </cell>
          <cell r="DH105">
            <v>6505</v>
          </cell>
          <cell r="DI105">
            <v>6505</v>
          </cell>
          <cell r="DJ105">
            <v>6505</v>
          </cell>
          <cell r="DK105">
            <v>0</v>
          </cell>
          <cell r="DL105">
            <v>0</v>
          </cell>
          <cell r="DM105">
            <v>5256231</v>
          </cell>
          <cell r="DN105">
            <v>2</v>
          </cell>
          <cell r="DO105" t="str">
            <v>Отопление</v>
          </cell>
          <cell r="DP105" t="str">
            <v>УЖХ</v>
          </cell>
          <cell r="DQ105">
            <v>40399</v>
          </cell>
          <cell r="DR105">
            <v>0</v>
          </cell>
          <cell r="DS105">
            <v>37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 t="str">
            <v>3.Зависимая схема</v>
          </cell>
          <cell r="EE105" t="str">
            <v>Верхний</v>
          </cell>
          <cell r="EF105">
            <v>0</v>
          </cell>
          <cell r="EG105">
            <v>0</v>
          </cell>
          <cell r="EH105">
            <v>1762.2</v>
          </cell>
          <cell r="EI105">
            <v>1762.19921875</v>
          </cell>
          <cell r="EJ105">
            <v>0</v>
          </cell>
          <cell r="EK105">
            <v>598.70000000000005</v>
          </cell>
          <cell r="EL105">
            <v>0</v>
          </cell>
          <cell r="EM105">
            <v>128</v>
          </cell>
          <cell r="EN105">
            <v>4</v>
          </cell>
          <cell r="EO105">
            <v>4</v>
          </cell>
          <cell r="EP105">
            <v>0</v>
          </cell>
          <cell r="EQ105">
            <v>0</v>
          </cell>
          <cell r="ER105">
            <v>0</v>
          </cell>
          <cell r="ES105">
            <v>0</v>
          </cell>
          <cell r="ET105">
            <v>0</v>
          </cell>
          <cell r="EU105">
            <v>0</v>
          </cell>
          <cell r="EV105">
            <v>0</v>
          </cell>
          <cell r="EW105">
            <v>15</v>
          </cell>
          <cell r="EX105">
            <v>1</v>
          </cell>
          <cell r="EY105">
            <v>1</v>
          </cell>
          <cell r="EZ105">
            <v>0</v>
          </cell>
          <cell r="FA105">
            <v>52</v>
          </cell>
          <cell r="FB105">
            <v>1</v>
          </cell>
          <cell r="FC105">
            <v>1</v>
          </cell>
          <cell r="FD105">
            <v>0</v>
          </cell>
          <cell r="FE105">
            <v>0</v>
          </cell>
          <cell r="FF105">
            <v>17.53</v>
          </cell>
          <cell r="FG105">
            <v>2</v>
          </cell>
          <cell r="FH105">
            <v>2</v>
          </cell>
          <cell r="FI105">
            <v>43586</v>
          </cell>
          <cell r="FJ105">
            <v>15477</v>
          </cell>
          <cell r="FK105">
            <v>15477</v>
          </cell>
          <cell r="FL105">
            <v>2197.3000000000002</v>
          </cell>
          <cell r="FM105">
            <v>78.92</v>
          </cell>
          <cell r="FN105">
            <v>3919.41</v>
          </cell>
          <cell r="FO105">
            <v>11758.23</v>
          </cell>
        </row>
        <row r="106">
          <cell r="AI106" t="str">
            <v>Ул. Таллинская дом 22</v>
          </cell>
          <cell r="AJ106">
            <v>11758.2265625</v>
          </cell>
          <cell r="AK106">
            <v>887.9</v>
          </cell>
          <cell r="AL106">
            <v>582</v>
          </cell>
          <cell r="AM106">
            <v>2</v>
          </cell>
          <cell r="AN106">
            <v>2</v>
          </cell>
          <cell r="AO106" t="str">
            <v>АО УЖХ Демского района</v>
          </cell>
          <cell r="AP106">
            <v>884.6</v>
          </cell>
          <cell r="AQ106">
            <v>0</v>
          </cell>
          <cell r="AR106">
            <v>72.7</v>
          </cell>
          <cell r="AS106">
            <v>4.5999999999999996</v>
          </cell>
          <cell r="AT106">
            <v>18</v>
          </cell>
          <cell r="AU106">
            <v>3</v>
          </cell>
          <cell r="AV106">
            <v>49</v>
          </cell>
          <cell r="AW106">
            <v>0</v>
          </cell>
          <cell r="AX106">
            <v>0</v>
          </cell>
          <cell r="AY106">
            <v>0</v>
          </cell>
          <cell r="AZ106">
            <v>818.9</v>
          </cell>
          <cell r="BA106">
            <v>662.7</v>
          </cell>
          <cell r="BB106">
            <v>662.69970703125</v>
          </cell>
          <cell r="BC106" t="str">
            <v>Непосредственное</v>
          </cell>
          <cell r="BD106" t="str">
            <v>1. Жилой дом</v>
          </cell>
          <cell r="BE106">
            <v>52.6</v>
          </cell>
          <cell r="BF106" t="str">
            <v>1.Оцинкованный</v>
          </cell>
          <cell r="BG106">
            <v>52.5999755859375</v>
          </cell>
          <cell r="BH106" t="str">
            <v>3.Водяной</v>
          </cell>
          <cell r="BI106" t="str">
            <v>МУП УИС</v>
          </cell>
          <cell r="BJ106" t="str">
            <v>1. Чугун</v>
          </cell>
          <cell r="BK106">
            <v>52.5999755859375</v>
          </cell>
          <cell r="BL106" t="str">
            <v>2.Кирпич</v>
          </cell>
          <cell r="BM106">
            <v>21186</v>
          </cell>
          <cell r="BN106">
            <v>18</v>
          </cell>
          <cell r="BO106" t="str">
            <v>Оборудован</v>
          </cell>
          <cell r="BP106" t="str">
            <v>1.Абсоцемент(шифер)</v>
          </cell>
          <cell r="BQ106" t="str">
            <v>1.Скатная</v>
          </cell>
          <cell r="BR106">
            <v>585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 t="str">
            <v>3.Частный жилищный фонд</v>
          </cell>
          <cell r="BX106">
            <v>18</v>
          </cell>
          <cell r="BY106">
            <v>0</v>
          </cell>
          <cell r="BZ106" t="str">
            <v>2-я</v>
          </cell>
          <cell r="CA106">
            <v>1</v>
          </cell>
          <cell r="CB106">
            <v>27.01</v>
          </cell>
          <cell r="CC106">
            <v>1</v>
          </cell>
          <cell r="CD106">
            <v>1</v>
          </cell>
          <cell r="CE106">
            <v>1</v>
          </cell>
          <cell r="CF106" t="str">
            <v>ООО "Гранд"</v>
          </cell>
          <cell r="CG106">
            <v>18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24</v>
          </cell>
          <cell r="CN106">
            <v>77.3</v>
          </cell>
          <cell r="CO106">
            <v>0</v>
          </cell>
          <cell r="CP106">
            <v>77.3</v>
          </cell>
          <cell r="CQ106">
            <v>77.29998779296875</v>
          </cell>
          <cell r="CR106">
            <v>77.29998779296875</v>
          </cell>
          <cell r="CS106">
            <v>0</v>
          </cell>
          <cell r="CT106">
            <v>18</v>
          </cell>
          <cell r="CU106">
            <v>0</v>
          </cell>
          <cell r="CV106">
            <v>0</v>
          </cell>
          <cell r="CW106">
            <v>0</v>
          </cell>
          <cell r="CX106">
            <v>1</v>
          </cell>
          <cell r="CY106">
            <v>1</v>
          </cell>
          <cell r="CZ106">
            <v>4151</v>
          </cell>
          <cell r="DA106" t="str">
            <v>Демский</v>
          </cell>
          <cell r="DB106" t="str">
            <v>3.Сборные ж/б панели</v>
          </cell>
          <cell r="DC106">
            <v>4151</v>
          </cell>
          <cell r="DD106">
            <v>4151</v>
          </cell>
          <cell r="DE106">
            <v>4151</v>
          </cell>
          <cell r="DF106">
            <v>4151</v>
          </cell>
          <cell r="DG106">
            <v>4151</v>
          </cell>
          <cell r="DH106">
            <v>4151</v>
          </cell>
          <cell r="DI106">
            <v>4151</v>
          </cell>
          <cell r="DJ106">
            <v>4151</v>
          </cell>
          <cell r="DK106">
            <v>0</v>
          </cell>
          <cell r="DL106">
            <v>0</v>
          </cell>
          <cell r="DM106">
            <v>1636587</v>
          </cell>
          <cell r="DN106">
            <v>0</v>
          </cell>
          <cell r="DO106">
            <v>0</v>
          </cell>
          <cell r="DP106" t="str">
            <v>УЖХ</v>
          </cell>
          <cell r="DQ106">
            <v>35781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 t="str">
            <v>3.Зависимая схема</v>
          </cell>
          <cell r="EE106" t="str">
            <v>Верхний</v>
          </cell>
          <cell r="EF106">
            <v>0</v>
          </cell>
          <cell r="EG106">
            <v>0</v>
          </cell>
          <cell r="EH106">
            <v>0</v>
          </cell>
          <cell r="EI106">
            <v>662.7</v>
          </cell>
          <cell r="EJ106">
            <v>162.69999999999999</v>
          </cell>
          <cell r="EK106">
            <v>591.9</v>
          </cell>
          <cell r="EL106">
            <v>591.89990234375</v>
          </cell>
          <cell r="EM106">
            <v>64.3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T106">
            <v>0</v>
          </cell>
          <cell r="EU106">
            <v>0</v>
          </cell>
          <cell r="EV106">
            <v>0</v>
          </cell>
          <cell r="EW106">
            <v>0</v>
          </cell>
          <cell r="EX106">
            <v>0</v>
          </cell>
          <cell r="EY106">
            <v>0</v>
          </cell>
          <cell r="EZ106">
            <v>0</v>
          </cell>
          <cell r="FA106">
            <v>0</v>
          </cell>
          <cell r="FB106">
            <v>0</v>
          </cell>
          <cell r="FC106">
            <v>0</v>
          </cell>
          <cell r="FD106">
            <v>0</v>
          </cell>
          <cell r="FE106">
            <v>0</v>
          </cell>
          <cell r="FF106">
            <v>11.78</v>
          </cell>
          <cell r="FG106">
            <v>11.779998779296875</v>
          </cell>
          <cell r="FH106" t="str">
            <v>С УЛК (ЖЭУ)</v>
          </cell>
          <cell r="FI106">
            <v>43647</v>
          </cell>
          <cell r="FJ106">
            <v>15477</v>
          </cell>
          <cell r="FK106">
            <v>15477</v>
          </cell>
          <cell r="FL106">
            <v>965.2</v>
          </cell>
          <cell r="FM106">
            <v>78.92</v>
          </cell>
          <cell r="FN106">
            <v>1906.74</v>
          </cell>
          <cell r="FO106">
            <v>5720.22</v>
          </cell>
        </row>
        <row r="107">
          <cell r="AI107" t="str">
            <v>Ул. Таллинская дом 23</v>
          </cell>
          <cell r="AJ107">
            <v>5720.21875</v>
          </cell>
          <cell r="AK107">
            <v>2587</v>
          </cell>
          <cell r="AL107">
            <v>1711.4</v>
          </cell>
          <cell r="AM107">
            <v>4</v>
          </cell>
          <cell r="AN107">
            <v>4</v>
          </cell>
          <cell r="AO107" t="str">
            <v>АО УЖХ Демского района</v>
          </cell>
          <cell r="AP107">
            <v>2532</v>
          </cell>
          <cell r="AQ107">
            <v>56.1</v>
          </cell>
          <cell r="AR107">
            <v>233.2</v>
          </cell>
          <cell r="AS107">
            <v>15.6</v>
          </cell>
          <cell r="AT107">
            <v>64</v>
          </cell>
          <cell r="AU107">
            <v>5</v>
          </cell>
          <cell r="AV107">
            <v>124</v>
          </cell>
          <cell r="AW107">
            <v>0</v>
          </cell>
          <cell r="AX107">
            <v>0</v>
          </cell>
          <cell r="AY107">
            <v>656.8</v>
          </cell>
          <cell r="AZ107">
            <v>1305.2</v>
          </cell>
          <cell r="BA107">
            <v>1240</v>
          </cell>
          <cell r="BB107">
            <v>1240</v>
          </cell>
          <cell r="BC107" t="str">
            <v>Управляющая компания</v>
          </cell>
          <cell r="BD107" t="str">
            <v>1. Жилой дом</v>
          </cell>
          <cell r="BE107">
            <v>47.8</v>
          </cell>
          <cell r="BF107" t="str">
            <v>2.Чёрный</v>
          </cell>
          <cell r="BG107">
            <v>47.79998779296875</v>
          </cell>
          <cell r="BH107" t="str">
            <v>3.Водяной</v>
          </cell>
          <cell r="BI107" t="str">
            <v>МУП УИС</v>
          </cell>
          <cell r="BJ107" t="str">
            <v>1. Чугун</v>
          </cell>
          <cell r="BK107">
            <v>47.79998779296875</v>
          </cell>
          <cell r="BL107" t="str">
            <v>2.Кирпич</v>
          </cell>
          <cell r="BM107">
            <v>23377</v>
          </cell>
          <cell r="BN107">
            <v>64</v>
          </cell>
          <cell r="BO107" t="str">
            <v>Оборудован</v>
          </cell>
          <cell r="BP107" t="str">
            <v>1.Абсоцемент(шифер)</v>
          </cell>
          <cell r="BQ107" t="str">
            <v>1.Скатная</v>
          </cell>
          <cell r="BR107">
            <v>1143</v>
          </cell>
          <cell r="BS107">
            <v>883</v>
          </cell>
          <cell r="BT107">
            <v>883</v>
          </cell>
          <cell r="BU107">
            <v>883</v>
          </cell>
          <cell r="BV107">
            <v>0</v>
          </cell>
          <cell r="BW107" t="str">
            <v>3.Частный жилищный фонд</v>
          </cell>
          <cell r="BX107">
            <v>64</v>
          </cell>
          <cell r="BY107">
            <v>0</v>
          </cell>
          <cell r="BZ107" t="str">
            <v>2-я</v>
          </cell>
          <cell r="CA107">
            <v>1</v>
          </cell>
          <cell r="CB107">
            <v>27.01</v>
          </cell>
          <cell r="CC107">
            <v>1</v>
          </cell>
          <cell r="CD107">
            <v>1</v>
          </cell>
          <cell r="CE107">
            <v>2588.1</v>
          </cell>
          <cell r="CF107" t="str">
            <v>ООО "Сфера"</v>
          </cell>
          <cell r="CG107">
            <v>63</v>
          </cell>
          <cell r="CH107">
            <v>1</v>
          </cell>
          <cell r="CI107">
            <v>1</v>
          </cell>
          <cell r="CJ107">
            <v>1</v>
          </cell>
          <cell r="CK107">
            <v>0</v>
          </cell>
          <cell r="CL107">
            <v>1</v>
          </cell>
          <cell r="CM107">
            <v>64</v>
          </cell>
          <cell r="CN107">
            <v>248.8</v>
          </cell>
          <cell r="CO107">
            <v>0</v>
          </cell>
          <cell r="CP107">
            <v>1131.8</v>
          </cell>
          <cell r="CQ107">
            <v>1131.7998046875</v>
          </cell>
          <cell r="CR107">
            <v>1131.7998046875</v>
          </cell>
          <cell r="CS107">
            <v>1</v>
          </cell>
          <cell r="CT107">
            <v>64</v>
          </cell>
          <cell r="CU107">
            <v>0</v>
          </cell>
          <cell r="CV107">
            <v>51</v>
          </cell>
          <cell r="CW107">
            <v>0</v>
          </cell>
          <cell r="CX107">
            <v>1</v>
          </cell>
          <cell r="CY107">
            <v>1</v>
          </cell>
          <cell r="CZ107">
            <v>12815</v>
          </cell>
          <cell r="DA107" t="str">
            <v>Демский</v>
          </cell>
          <cell r="DB107" t="str">
            <v>3.Сборные ж/б панели</v>
          </cell>
          <cell r="DC107">
            <v>12815</v>
          </cell>
          <cell r="DD107">
            <v>12815</v>
          </cell>
          <cell r="DE107">
            <v>12815</v>
          </cell>
          <cell r="DF107">
            <v>12815</v>
          </cell>
          <cell r="DG107">
            <v>12815</v>
          </cell>
          <cell r="DH107">
            <v>12815</v>
          </cell>
          <cell r="DI107">
            <v>12815</v>
          </cell>
          <cell r="DJ107">
            <v>12815</v>
          </cell>
          <cell r="DK107">
            <v>0</v>
          </cell>
          <cell r="DL107">
            <v>0</v>
          </cell>
          <cell r="DM107">
            <v>4478581</v>
          </cell>
          <cell r="DN107">
            <v>4</v>
          </cell>
          <cell r="DO107" t="str">
            <v>Отопление</v>
          </cell>
          <cell r="DP107" t="str">
            <v>УЖХ</v>
          </cell>
          <cell r="DQ107">
            <v>40436</v>
          </cell>
          <cell r="DR107">
            <v>0</v>
          </cell>
          <cell r="DS107">
            <v>64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 t="str">
            <v>3.Зависимая схема</v>
          </cell>
          <cell r="EE107" t="str">
            <v>Нижний</v>
          </cell>
          <cell r="EF107">
            <v>0</v>
          </cell>
          <cell r="EG107">
            <v>0</v>
          </cell>
          <cell r="EH107">
            <v>0</v>
          </cell>
          <cell r="EI107">
            <v>1240</v>
          </cell>
          <cell r="EJ107">
            <v>240</v>
          </cell>
          <cell r="EK107">
            <v>724.7</v>
          </cell>
          <cell r="EL107">
            <v>724.69970703125</v>
          </cell>
          <cell r="EM107">
            <v>260.5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80</v>
          </cell>
          <cell r="FB107">
            <v>1</v>
          </cell>
          <cell r="FC107">
            <v>1</v>
          </cell>
          <cell r="FD107">
            <v>0</v>
          </cell>
          <cell r="FE107">
            <v>0</v>
          </cell>
          <cell r="FF107">
            <v>16.809999999999999</v>
          </cell>
          <cell r="FG107">
            <v>2</v>
          </cell>
          <cell r="FH107">
            <v>2</v>
          </cell>
          <cell r="FI107">
            <v>43554</v>
          </cell>
          <cell r="FJ107">
            <v>15477</v>
          </cell>
          <cell r="FK107">
            <v>15477</v>
          </cell>
          <cell r="FL107">
            <v>4375.6000000000004</v>
          </cell>
          <cell r="FM107">
            <v>78.92</v>
          </cell>
          <cell r="FN107">
            <v>6779.52</v>
          </cell>
          <cell r="FO107">
            <v>20338.560000000001</v>
          </cell>
        </row>
        <row r="108">
          <cell r="AI108" t="str">
            <v>Ул. Таллинская дом 23/а</v>
          </cell>
          <cell r="AJ108">
            <v>20338.546875</v>
          </cell>
          <cell r="AK108">
            <v>3563.5</v>
          </cell>
          <cell r="AL108">
            <v>2525.8000000000002</v>
          </cell>
          <cell r="AM108">
            <v>4</v>
          </cell>
          <cell r="AN108">
            <v>4</v>
          </cell>
          <cell r="AO108" t="str">
            <v>АО УЖХ Демского района</v>
          </cell>
          <cell r="AP108">
            <v>3562.5</v>
          </cell>
          <cell r="AQ108">
            <v>0</v>
          </cell>
          <cell r="AR108">
            <v>304</v>
          </cell>
          <cell r="AS108">
            <v>0</v>
          </cell>
          <cell r="AT108">
            <v>80</v>
          </cell>
          <cell r="AU108">
            <v>5</v>
          </cell>
          <cell r="AV108">
            <v>169</v>
          </cell>
          <cell r="AW108">
            <v>0</v>
          </cell>
          <cell r="AX108">
            <v>0</v>
          </cell>
          <cell r="AY108">
            <v>0</v>
          </cell>
          <cell r="AZ108">
            <v>1372.1</v>
          </cell>
          <cell r="BA108">
            <v>3905.5</v>
          </cell>
          <cell r="BB108">
            <v>3905.5</v>
          </cell>
          <cell r="BC108" t="str">
            <v>Управляющая компания</v>
          </cell>
          <cell r="BD108" t="str">
            <v>1. Жилой дом</v>
          </cell>
          <cell r="BE108">
            <v>48.6</v>
          </cell>
          <cell r="BF108" t="str">
            <v>2.Чёрный</v>
          </cell>
          <cell r="BG108">
            <v>48.5999755859375</v>
          </cell>
          <cell r="BH108" t="str">
            <v>3.Водяной</v>
          </cell>
          <cell r="BI108" t="str">
            <v>МУП УИС</v>
          </cell>
          <cell r="BJ108" t="str">
            <v>1. Чугун</v>
          </cell>
          <cell r="BK108">
            <v>48.5999755859375</v>
          </cell>
          <cell r="BL108" t="str">
            <v>8.Сборные ж/б</v>
          </cell>
          <cell r="BM108">
            <v>23012</v>
          </cell>
          <cell r="BN108">
            <v>80</v>
          </cell>
          <cell r="BO108" t="str">
            <v>Оборудован</v>
          </cell>
          <cell r="BP108" t="str">
            <v>1.Абсоцемент(шифер)</v>
          </cell>
          <cell r="BQ108" t="str">
            <v>1.Скатная</v>
          </cell>
          <cell r="BR108">
            <v>1146</v>
          </cell>
          <cell r="BS108">
            <v>860</v>
          </cell>
          <cell r="BT108">
            <v>860</v>
          </cell>
          <cell r="BU108">
            <v>864</v>
          </cell>
          <cell r="BV108">
            <v>864</v>
          </cell>
          <cell r="BW108" t="str">
            <v>3.Частный жилищный фонд</v>
          </cell>
          <cell r="BX108">
            <v>80</v>
          </cell>
          <cell r="BY108">
            <v>0</v>
          </cell>
          <cell r="BZ108" t="str">
            <v>2-я</v>
          </cell>
          <cell r="CA108">
            <v>1</v>
          </cell>
          <cell r="CB108">
            <v>27.01</v>
          </cell>
          <cell r="CC108">
            <v>1</v>
          </cell>
          <cell r="CD108">
            <v>1</v>
          </cell>
          <cell r="CE108">
            <v>3562.5</v>
          </cell>
          <cell r="CF108" t="str">
            <v>ООО "Сфера"</v>
          </cell>
          <cell r="CG108">
            <v>80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1</v>
          </cell>
          <cell r="CM108">
            <v>81</v>
          </cell>
          <cell r="CN108">
            <v>304</v>
          </cell>
          <cell r="CO108">
            <v>0</v>
          </cell>
          <cell r="CP108">
            <v>2028</v>
          </cell>
          <cell r="CQ108">
            <v>2028</v>
          </cell>
          <cell r="CR108">
            <v>2028</v>
          </cell>
          <cell r="CS108">
            <v>1</v>
          </cell>
          <cell r="CT108">
            <v>80</v>
          </cell>
          <cell r="CU108">
            <v>0</v>
          </cell>
          <cell r="CV108">
            <v>60</v>
          </cell>
          <cell r="CW108">
            <v>0</v>
          </cell>
          <cell r="CX108">
            <v>1</v>
          </cell>
          <cell r="CY108">
            <v>1</v>
          </cell>
          <cell r="CZ108">
            <v>12341</v>
          </cell>
          <cell r="DA108" t="str">
            <v>Демский</v>
          </cell>
          <cell r="DB108" t="str">
            <v>3.Сборные ж/б панели</v>
          </cell>
          <cell r="DC108">
            <v>12341</v>
          </cell>
          <cell r="DD108">
            <v>12341</v>
          </cell>
          <cell r="DE108">
            <v>12341</v>
          </cell>
          <cell r="DF108">
            <v>12341</v>
          </cell>
          <cell r="DG108">
            <v>12341</v>
          </cell>
          <cell r="DH108">
            <v>12341</v>
          </cell>
          <cell r="DI108">
            <v>12341</v>
          </cell>
          <cell r="DJ108">
            <v>12341</v>
          </cell>
          <cell r="DK108">
            <v>0</v>
          </cell>
          <cell r="DL108">
            <v>0</v>
          </cell>
          <cell r="DM108">
            <v>5443144</v>
          </cell>
          <cell r="DN108">
            <v>4</v>
          </cell>
          <cell r="DO108" t="str">
            <v>Отопление</v>
          </cell>
          <cell r="DP108" t="str">
            <v>УЖХ</v>
          </cell>
          <cell r="DQ108">
            <v>35633</v>
          </cell>
          <cell r="DR108">
            <v>0</v>
          </cell>
          <cell r="DS108">
            <v>80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 t="str">
            <v>3.Зависимая схема</v>
          </cell>
          <cell r="EE108" t="str">
            <v>Верхний</v>
          </cell>
          <cell r="EF108">
            <v>0</v>
          </cell>
          <cell r="EG108">
            <v>0</v>
          </cell>
          <cell r="EH108">
            <v>0</v>
          </cell>
          <cell r="EI108">
            <v>3905.5</v>
          </cell>
          <cell r="EJ108">
            <v>300</v>
          </cell>
          <cell r="EK108">
            <v>679.5</v>
          </cell>
          <cell r="EL108">
            <v>679.5</v>
          </cell>
          <cell r="EM108">
            <v>336.6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56</v>
          </cell>
          <cell r="FB108">
            <v>1</v>
          </cell>
          <cell r="FC108">
            <v>1</v>
          </cell>
          <cell r="FD108">
            <v>0</v>
          </cell>
          <cell r="FE108">
            <v>0</v>
          </cell>
          <cell r="FF108">
            <v>15.48</v>
          </cell>
          <cell r="FG108">
            <v>2</v>
          </cell>
          <cell r="FH108">
            <v>2</v>
          </cell>
          <cell r="FI108">
            <v>44682</v>
          </cell>
          <cell r="FJ108">
            <v>15477</v>
          </cell>
          <cell r="FK108">
            <v>15477</v>
          </cell>
          <cell r="FL108">
            <v>4727.5</v>
          </cell>
          <cell r="FM108">
            <v>78.92</v>
          </cell>
          <cell r="FN108">
            <v>8474.4000000000015</v>
          </cell>
          <cell r="FO108">
            <v>25423.200000000004</v>
          </cell>
        </row>
        <row r="109">
          <cell r="AI109" t="str">
            <v>Ул. Таллинская дом 23/б</v>
          </cell>
          <cell r="AJ109">
            <v>25423.1875</v>
          </cell>
          <cell r="AK109">
            <v>2650.4</v>
          </cell>
          <cell r="AL109">
            <v>1831.5</v>
          </cell>
          <cell r="AM109">
            <v>4</v>
          </cell>
          <cell r="AN109">
            <v>4</v>
          </cell>
          <cell r="AO109" t="str">
            <v>АО УЖХ Демского района</v>
          </cell>
          <cell r="AP109">
            <v>2348.1</v>
          </cell>
          <cell r="AQ109">
            <v>302.3</v>
          </cell>
          <cell r="AR109">
            <v>277.2</v>
          </cell>
          <cell r="AS109">
            <v>81.599999999999994</v>
          </cell>
          <cell r="AT109">
            <v>60</v>
          </cell>
          <cell r="AU109">
            <v>5</v>
          </cell>
          <cell r="AV109">
            <v>156</v>
          </cell>
          <cell r="AW109">
            <v>0</v>
          </cell>
          <cell r="AX109">
            <v>0</v>
          </cell>
          <cell r="AY109">
            <v>0</v>
          </cell>
          <cell r="AZ109">
            <v>1216.0999999999999</v>
          </cell>
          <cell r="BA109">
            <v>2444.6</v>
          </cell>
          <cell r="BB109">
            <v>2444.599609375</v>
          </cell>
          <cell r="BC109" t="str">
            <v>Управляющая компания</v>
          </cell>
          <cell r="BD109" t="str">
            <v>1. Жилой дом</v>
          </cell>
          <cell r="BE109">
            <v>45.4</v>
          </cell>
          <cell r="BF109" t="str">
            <v>2.Чёрный</v>
          </cell>
          <cell r="BG109">
            <v>45.399993896484375</v>
          </cell>
          <cell r="BH109" t="str">
            <v>3.Водяной</v>
          </cell>
          <cell r="BI109" t="str">
            <v>МУП УИС</v>
          </cell>
          <cell r="BJ109" t="str">
            <v>1. Чугун</v>
          </cell>
          <cell r="BK109">
            <v>45.399993896484375</v>
          </cell>
          <cell r="BL109" t="str">
            <v>9.Крупнопанел/блок</v>
          </cell>
          <cell r="BM109">
            <v>24473</v>
          </cell>
          <cell r="BN109">
            <v>60</v>
          </cell>
          <cell r="BO109" t="str">
            <v>Оборудован</v>
          </cell>
          <cell r="BP109" t="str">
            <v>2.Лист железный</v>
          </cell>
          <cell r="BQ109" t="str">
            <v>1.Скатная</v>
          </cell>
          <cell r="BR109">
            <v>749</v>
          </cell>
          <cell r="BS109">
            <v>630.4</v>
          </cell>
          <cell r="BT109">
            <v>630.39990234375</v>
          </cell>
          <cell r="BU109">
            <v>630.39990234375</v>
          </cell>
          <cell r="BV109">
            <v>0</v>
          </cell>
          <cell r="BW109" t="str">
            <v>3.Частный жилищный фонд</v>
          </cell>
          <cell r="BX109">
            <v>60</v>
          </cell>
          <cell r="BY109">
            <v>0</v>
          </cell>
          <cell r="BZ109" t="str">
            <v>2-я</v>
          </cell>
          <cell r="CA109">
            <v>1</v>
          </cell>
          <cell r="CB109">
            <v>27.01</v>
          </cell>
          <cell r="CC109">
            <v>1</v>
          </cell>
          <cell r="CD109">
            <v>1</v>
          </cell>
          <cell r="CE109">
            <v>2650.4</v>
          </cell>
          <cell r="CF109" t="str">
            <v>ООО "Сфера"</v>
          </cell>
          <cell r="CG109">
            <v>54</v>
          </cell>
          <cell r="CH109">
            <v>6</v>
          </cell>
          <cell r="CI109">
            <v>6</v>
          </cell>
          <cell r="CJ109">
            <v>6</v>
          </cell>
          <cell r="CK109">
            <v>0</v>
          </cell>
          <cell r="CL109">
            <v>0</v>
          </cell>
          <cell r="CM109">
            <v>60</v>
          </cell>
          <cell r="CN109">
            <v>358.8</v>
          </cell>
          <cell r="CO109">
            <v>0</v>
          </cell>
          <cell r="CP109">
            <v>989.2</v>
          </cell>
          <cell r="CQ109">
            <v>989.19970703125</v>
          </cell>
          <cell r="CR109">
            <v>989.19970703125</v>
          </cell>
          <cell r="CS109">
            <v>1</v>
          </cell>
          <cell r="CT109">
            <v>60</v>
          </cell>
          <cell r="CU109">
            <v>0</v>
          </cell>
          <cell r="CV109">
            <v>52</v>
          </cell>
          <cell r="CW109">
            <v>0</v>
          </cell>
          <cell r="CX109">
            <v>1</v>
          </cell>
          <cell r="CY109">
            <v>1</v>
          </cell>
          <cell r="CZ109">
            <v>9528</v>
          </cell>
          <cell r="DA109" t="str">
            <v>Демский</v>
          </cell>
          <cell r="DB109" t="str">
            <v>3.Сборные ж/б панели</v>
          </cell>
          <cell r="DC109">
            <v>9528</v>
          </cell>
          <cell r="DD109">
            <v>9528</v>
          </cell>
          <cell r="DE109">
            <v>9528</v>
          </cell>
          <cell r="DF109">
            <v>9528</v>
          </cell>
          <cell r="DG109">
            <v>9528</v>
          </cell>
          <cell r="DH109">
            <v>9528</v>
          </cell>
          <cell r="DI109">
            <v>9528</v>
          </cell>
          <cell r="DJ109">
            <v>9528</v>
          </cell>
          <cell r="DK109">
            <v>0</v>
          </cell>
          <cell r="DL109">
            <v>0</v>
          </cell>
          <cell r="DM109">
            <v>3330490</v>
          </cell>
          <cell r="DN109">
            <v>4</v>
          </cell>
          <cell r="DO109" t="str">
            <v>Отопление</v>
          </cell>
          <cell r="DP109" t="str">
            <v>УЖХ</v>
          </cell>
          <cell r="DQ109">
            <v>38814</v>
          </cell>
          <cell r="DR109">
            <v>0</v>
          </cell>
          <cell r="DS109">
            <v>60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 t="str">
            <v>3.Зависимая схема</v>
          </cell>
          <cell r="EE109" t="str">
            <v>Нижний</v>
          </cell>
          <cell r="EF109">
            <v>0</v>
          </cell>
          <cell r="EG109">
            <v>0</v>
          </cell>
          <cell r="EH109">
            <v>2331.6</v>
          </cell>
          <cell r="EI109">
            <v>0</v>
          </cell>
          <cell r="EJ109">
            <v>0</v>
          </cell>
          <cell r="EK109">
            <v>933.1</v>
          </cell>
          <cell r="EL109">
            <v>0</v>
          </cell>
          <cell r="EM109">
            <v>218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</v>
          </cell>
          <cell r="ES109">
            <v>0</v>
          </cell>
          <cell r="ET109">
            <v>0</v>
          </cell>
          <cell r="EU109">
            <v>113</v>
          </cell>
          <cell r="EV109">
            <v>1</v>
          </cell>
          <cell r="EW109">
            <v>1</v>
          </cell>
          <cell r="EX109">
            <v>0</v>
          </cell>
          <cell r="EY109">
            <v>0</v>
          </cell>
          <cell r="EZ109">
            <v>0</v>
          </cell>
          <cell r="FA109">
            <v>65</v>
          </cell>
          <cell r="FB109">
            <v>1</v>
          </cell>
          <cell r="FC109">
            <v>1</v>
          </cell>
          <cell r="FD109">
            <v>0</v>
          </cell>
          <cell r="FE109">
            <v>0</v>
          </cell>
          <cell r="FF109">
            <v>10.86</v>
          </cell>
          <cell r="FG109">
            <v>2.7</v>
          </cell>
          <cell r="FH109">
            <v>2.6999988555908203</v>
          </cell>
          <cell r="FI109">
            <v>43573</v>
          </cell>
          <cell r="FJ109">
            <v>15477</v>
          </cell>
          <cell r="FK109">
            <v>15477</v>
          </cell>
          <cell r="FL109">
            <v>3639.6</v>
          </cell>
          <cell r="FM109">
            <v>78.92</v>
          </cell>
          <cell r="FN109">
            <v>6355.8</v>
          </cell>
          <cell r="FO109">
            <v>19067.400000000001</v>
          </cell>
        </row>
        <row r="110">
          <cell r="AI110" t="str">
            <v>Ул. Таллинская дом 24</v>
          </cell>
          <cell r="AJ110">
            <v>19067.390625</v>
          </cell>
          <cell r="AK110">
            <v>883.5</v>
          </cell>
          <cell r="AL110">
            <v>579.70000000000005</v>
          </cell>
          <cell r="AM110">
            <v>2</v>
          </cell>
          <cell r="AN110">
            <v>2</v>
          </cell>
          <cell r="AO110" t="str">
            <v>АО УЖХ Демского района</v>
          </cell>
          <cell r="AP110">
            <v>884.7</v>
          </cell>
          <cell r="AQ110">
            <v>0</v>
          </cell>
          <cell r="AR110">
            <v>74.7</v>
          </cell>
          <cell r="AS110">
            <v>4.5</v>
          </cell>
          <cell r="AT110">
            <v>18</v>
          </cell>
          <cell r="AU110">
            <v>3</v>
          </cell>
          <cell r="AV110">
            <v>43</v>
          </cell>
          <cell r="AW110">
            <v>0</v>
          </cell>
          <cell r="AX110">
            <v>0</v>
          </cell>
          <cell r="AY110">
            <v>0</v>
          </cell>
          <cell r="AZ110">
            <v>821.5</v>
          </cell>
          <cell r="BA110">
            <v>267.3</v>
          </cell>
          <cell r="BB110">
            <v>267.2998046875</v>
          </cell>
          <cell r="BC110" t="str">
            <v>Непосредственное</v>
          </cell>
          <cell r="BD110" t="str">
            <v>1. Жилой дом</v>
          </cell>
          <cell r="BE110">
            <v>52.6</v>
          </cell>
          <cell r="BF110" t="str">
            <v>2.Чёрный</v>
          </cell>
          <cell r="BG110">
            <v>52.5999755859375</v>
          </cell>
          <cell r="BH110" t="str">
            <v>3.Водяной</v>
          </cell>
          <cell r="BI110" t="str">
            <v>МУП УИС</v>
          </cell>
          <cell r="BJ110" t="str">
            <v>1. Чугун</v>
          </cell>
          <cell r="BK110">
            <v>52.5999755859375</v>
          </cell>
          <cell r="BL110" t="str">
            <v>2.Кирпич</v>
          </cell>
          <cell r="BM110">
            <v>21186</v>
          </cell>
          <cell r="BN110">
            <v>18</v>
          </cell>
          <cell r="BO110" t="str">
            <v>Оборудован</v>
          </cell>
          <cell r="BP110" t="str">
            <v>1.Абсоцемент(шифер)</v>
          </cell>
          <cell r="BQ110" t="str">
            <v>1.Скатная</v>
          </cell>
          <cell r="BR110">
            <v>545.1</v>
          </cell>
          <cell r="BS110">
            <v>320.39999999999998</v>
          </cell>
          <cell r="BT110">
            <v>320.39990234375</v>
          </cell>
          <cell r="BU110">
            <v>320.39990234375</v>
          </cell>
          <cell r="BV110">
            <v>0</v>
          </cell>
          <cell r="BW110" t="str">
            <v>3.Частный жилищный фонд</v>
          </cell>
          <cell r="BX110">
            <v>18</v>
          </cell>
          <cell r="BY110">
            <v>0</v>
          </cell>
          <cell r="BZ110" t="str">
            <v>2-я</v>
          </cell>
          <cell r="CA110">
            <v>1</v>
          </cell>
          <cell r="CB110">
            <v>27.01</v>
          </cell>
          <cell r="CC110">
            <v>1</v>
          </cell>
          <cell r="CD110">
            <v>1</v>
          </cell>
          <cell r="CE110">
            <v>1</v>
          </cell>
          <cell r="CF110" t="str">
            <v>ООО "Гранд"</v>
          </cell>
          <cell r="CG110">
            <v>18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1</v>
          </cell>
          <cell r="CM110">
            <v>19</v>
          </cell>
          <cell r="CN110">
            <v>79.2</v>
          </cell>
          <cell r="CO110">
            <v>0</v>
          </cell>
          <cell r="CP110">
            <v>399.6</v>
          </cell>
          <cell r="CQ110">
            <v>399.599853515625</v>
          </cell>
          <cell r="CR110">
            <v>399.599853515625</v>
          </cell>
          <cell r="CS110">
            <v>2</v>
          </cell>
          <cell r="CT110">
            <v>18</v>
          </cell>
          <cell r="CU110">
            <v>0</v>
          </cell>
          <cell r="CV110">
            <v>0</v>
          </cell>
          <cell r="CW110">
            <v>0</v>
          </cell>
          <cell r="CX110">
            <v>1</v>
          </cell>
          <cell r="CY110">
            <v>1</v>
          </cell>
          <cell r="CZ110">
            <v>4088</v>
          </cell>
          <cell r="DA110" t="str">
            <v>Демский</v>
          </cell>
          <cell r="DB110" t="str">
            <v>3.Сборные ж/б панели</v>
          </cell>
          <cell r="DC110">
            <v>4088</v>
          </cell>
          <cell r="DD110">
            <v>4088</v>
          </cell>
          <cell r="DE110">
            <v>4088</v>
          </cell>
          <cell r="DF110">
            <v>4088</v>
          </cell>
          <cell r="DG110">
            <v>4088</v>
          </cell>
          <cell r="DH110">
            <v>4088</v>
          </cell>
          <cell r="DI110">
            <v>4088</v>
          </cell>
          <cell r="DJ110">
            <v>4088</v>
          </cell>
          <cell r="DK110">
            <v>0</v>
          </cell>
          <cell r="DL110">
            <v>0</v>
          </cell>
          <cell r="DM110">
            <v>2008377</v>
          </cell>
          <cell r="DN110">
            <v>2</v>
          </cell>
          <cell r="DO110">
            <v>2</v>
          </cell>
          <cell r="DP110" t="str">
            <v>УЖХ</v>
          </cell>
          <cell r="DQ110">
            <v>35565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 t="str">
            <v>3.Зависимая схема</v>
          </cell>
          <cell r="EE110" t="str">
            <v>Верхний</v>
          </cell>
          <cell r="EF110">
            <v>0</v>
          </cell>
          <cell r="EG110">
            <v>0</v>
          </cell>
          <cell r="EH110">
            <v>0</v>
          </cell>
          <cell r="EI110">
            <v>267.3</v>
          </cell>
          <cell r="EJ110">
            <v>177.6</v>
          </cell>
          <cell r="EK110">
            <v>621</v>
          </cell>
          <cell r="EL110">
            <v>621</v>
          </cell>
          <cell r="EM110">
            <v>22.9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  <cell r="FA110">
            <v>0</v>
          </cell>
          <cell r="FB110">
            <v>0</v>
          </cell>
          <cell r="FC110">
            <v>0</v>
          </cell>
          <cell r="FD110">
            <v>0</v>
          </cell>
          <cell r="FE110">
            <v>0</v>
          </cell>
          <cell r="FF110">
            <v>15.09</v>
          </cell>
          <cell r="FG110">
            <v>15.089996337890625</v>
          </cell>
          <cell r="FH110" t="str">
            <v>С УЛК (ЖЭУ)</v>
          </cell>
          <cell r="FI110">
            <v>43647</v>
          </cell>
          <cell r="FJ110">
            <v>15477</v>
          </cell>
          <cell r="FK110">
            <v>15477</v>
          </cell>
          <cell r="FL110">
            <v>1283.0999999999999</v>
          </cell>
          <cell r="FM110">
            <v>78.92</v>
          </cell>
          <cell r="FN110">
            <v>1906.74</v>
          </cell>
          <cell r="FO110">
            <v>5720.22</v>
          </cell>
        </row>
        <row r="111">
          <cell r="AI111" t="str">
            <v>Ул. Таллинская дом 24/1</v>
          </cell>
          <cell r="AJ111">
            <v>5720.21875</v>
          </cell>
          <cell r="AK111">
            <v>2063.6999999999998</v>
          </cell>
          <cell r="AL111">
            <v>1335</v>
          </cell>
          <cell r="AM111">
            <v>3</v>
          </cell>
          <cell r="AN111">
            <v>3</v>
          </cell>
          <cell r="AO111" t="str">
            <v>АО УЖХ Демского района</v>
          </cell>
          <cell r="AP111">
            <v>1840.3</v>
          </cell>
          <cell r="AQ111">
            <v>221.9</v>
          </cell>
          <cell r="AR111">
            <v>173.4</v>
          </cell>
          <cell r="AS111">
            <v>6.6</v>
          </cell>
          <cell r="AT111">
            <v>48</v>
          </cell>
          <cell r="AU111">
            <v>4</v>
          </cell>
          <cell r="AV111">
            <v>109</v>
          </cell>
          <cell r="AW111">
            <v>0</v>
          </cell>
          <cell r="AX111">
            <v>0</v>
          </cell>
          <cell r="AY111">
            <v>0</v>
          </cell>
          <cell r="AZ111">
            <v>787</v>
          </cell>
          <cell r="BA111">
            <v>2117.4</v>
          </cell>
          <cell r="BB111">
            <v>2117.3984375</v>
          </cell>
          <cell r="BC111" t="str">
            <v>Управляющая компания</v>
          </cell>
          <cell r="BD111" t="str">
            <v>1. Жилой дом</v>
          </cell>
          <cell r="BE111">
            <v>50.2</v>
          </cell>
          <cell r="BF111" t="str">
            <v>1.Оцинкованный</v>
          </cell>
          <cell r="BG111">
            <v>50.199981689453125</v>
          </cell>
          <cell r="BH111" t="str">
            <v>3.Водяной</v>
          </cell>
          <cell r="BI111" t="str">
            <v>МУП УИС</v>
          </cell>
          <cell r="BJ111" t="str">
            <v>1. Чугун</v>
          </cell>
          <cell r="BK111">
            <v>50.199981689453125</v>
          </cell>
          <cell r="BL111" t="str">
            <v>8.Сборные ж/б</v>
          </cell>
          <cell r="BM111">
            <v>22282</v>
          </cell>
          <cell r="BN111">
            <v>48</v>
          </cell>
          <cell r="BO111" t="str">
            <v>Оборудован</v>
          </cell>
          <cell r="BP111" t="str">
            <v>1.Абсоцемент(шифер)</v>
          </cell>
          <cell r="BQ111" t="str">
            <v>1.Скатная</v>
          </cell>
          <cell r="BR111">
            <v>832.3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 t="str">
            <v>3.Частный жилищный фонд</v>
          </cell>
          <cell r="BX111">
            <v>48</v>
          </cell>
          <cell r="BY111">
            <v>0</v>
          </cell>
          <cell r="BZ111" t="str">
            <v>2-я</v>
          </cell>
          <cell r="CA111">
            <v>1</v>
          </cell>
          <cell r="CB111">
            <v>27.01</v>
          </cell>
          <cell r="CC111">
            <v>1</v>
          </cell>
          <cell r="CD111">
            <v>1</v>
          </cell>
          <cell r="CE111">
            <v>2062.1999999999998</v>
          </cell>
          <cell r="CF111" t="str">
            <v>ООО "Гранд"</v>
          </cell>
          <cell r="CG111">
            <v>43</v>
          </cell>
          <cell r="CH111">
            <v>5</v>
          </cell>
          <cell r="CI111">
            <v>5</v>
          </cell>
          <cell r="CJ111">
            <v>5</v>
          </cell>
          <cell r="CK111">
            <v>0</v>
          </cell>
          <cell r="CL111">
            <v>0</v>
          </cell>
          <cell r="CM111">
            <v>48</v>
          </cell>
          <cell r="CN111">
            <v>180</v>
          </cell>
          <cell r="CO111">
            <v>0</v>
          </cell>
          <cell r="CP111">
            <v>180</v>
          </cell>
          <cell r="CQ111">
            <v>180</v>
          </cell>
          <cell r="CR111">
            <v>180</v>
          </cell>
          <cell r="CS111">
            <v>0</v>
          </cell>
          <cell r="CT111">
            <v>48</v>
          </cell>
          <cell r="CU111">
            <v>0</v>
          </cell>
          <cell r="CV111">
            <v>33</v>
          </cell>
          <cell r="CW111">
            <v>0</v>
          </cell>
          <cell r="CX111">
            <v>1</v>
          </cell>
          <cell r="CY111">
            <v>1</v>
          </cell>
          <cell r="CZ111">
            <v>7199</v>
          </cell>
          <cell r="DA111" t="str">
            <v>Демский</v>
          </cell>
          <cell r="DB111" t="str">
            <v>3.Сборные ж/б панели</v>
          </cell>
          <cell r="DC111">
            <v>7199</v>
          </cell>
          <cell r="DD111">
            <v>7199</v>
          </cell>
          <cell r="DE111">
            <v>7199</v>
          </cell>
          <cell r="DF111">
            <v>7199</v>
          </cell>
          <cell r="DG111">
            <v>7199</v>
          </cell>
          <cell r="DH111">
            <v>7199</v>
          </cell>
          <cell r="DI111">
            <v>7199</v>
          </cell>
          <cell r="DJ111">
            <v>7199</v>
          </cell>
          <cell r="DK111">
            <v>0</v>
          </cell>
          <cell r="DL111">
            <v>0</v>
          </cell>
          <cell r="DM111">
            <v>2574489</v>
          </cell>
          <cell r="DN111">
            <v>2</v>
          </cell>
          <cell r="DO111">
            <v>2</v>
          </cell>
          <cell r="DP111" t="str">
            <v>ЖРЭУ</v>
          </cell>
          <cell r="DQ111">
            <v>2</v>
          </cell>
          <cell r="DR111">
            <v>0</v>
          </cell>
          <cell r="DS111">
            <v>48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 t="str">
            <v>3.Зависимая схема</v>
          </cell>
          <cell r="EE111" t="str">
            <v>Верхний</v>
          </cell>
          <cell r="EF111">
            <v>0</v>
          </cell>
          <cell r="EG111">
            <v>0</v>
          </cell>
          <cell r="EH111">
            <v>100</v>
          </cell>
          <cell r="EI111">
            <v>2017.4</v>
          </cell>
          <cell r="EJ111">
            <v>48.6</v>
          </cell>
          <cell r="EK111">
            <v>384.6</v>
          </cell>
          <cell r="EL111">
            <v>384.599853515625</v>
          </cell>
          <cell r="EM111">
            <v>111.4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180</v>
          </cell>
          <cell r="ET111">
            <v>1</v>
          </cell>
          <cell r="EU111">
            <v>1</v>
          </cell>
          <cell r="EV111">
            <v>0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62.4</v>
          </cell>
          <cell r="FB111">
            <v>1</v>
          </cell>
          <cell r="FC111">
            <v>1</v>
          </cell>
          <cell r="FD111">
            <v>0</v>
          </cell>
          <cell r="FE111">
            <v>0</v>
          </cell>
          <cell r="FF111">
            <v>22</v>
          </cell>
          <cell r="FG111">
            <v>22</v>
          </cell>
          <cell r="FH111" t="str">
            <v>С УЛК (ЖЭУ)</v>
          </cell>
          <cell r="FI111">
            <v>43617</v>
          </cell>
          <cell r="FJ111">
            <v>15477</v>
          </cell>
          <cell r="FK111">
            <v>15477</v>
          </cell>
          <cell r="FL111">
            <v>2243.6999999999998</v>
          </cell>
          <cell r="FM111">
            <v>78.92</v>
          </cell>
          <cell r="FN111">
            <v>5084.6399999999994</v>
          </cell>
          <cell r="FO111">
            <v>15253.919999999998</v>
          </cell>
        </row>
        <row r="112">
          <cell r="AI112" t="str">
            <v>Ул. Таллинская дом 26</v>
          </cell>
          <cell r="AJ112">
            <v>15253.9140625</v>
          </cell>
          <cell r="AK112">
            <v>898.4</v>
          </cell>
          <cell r="AL112">
            <v>586.20000000000005</v>
          </cell>
          <cell r="AM112">
            <v>2</v>
          </cell>
          <cell r="AN112">
            <v>2</v>
          </cell>
          <cell r="AO112" t="str">
            <v>АО УЖХ Демского района</v>
          </cell>
          <cell r="AP112">
            <v>826.1</v>
          </cell>
          <cell r="AQ112">
            <v>67.5</v>
          </cell>
          <cell r="AR112">
            <v>87.5</v>
          </cell>
          <cell r="AS112">
            <v>0</v>
          </cell>
          <cell r="AT112">
            <v>18</v>
          </cell>
          <cell r="AU112">
            <v>3</v>
          </cell>
          <cell r="AV112">
            <v>41</v>
          </cell>
          <cell r="AW112">
            <v>0</v>
          </cell>
          <cell r="AX112">
            <v>0</v>
          </cell>
          <cell r="AY112">
            <v>0</v>
          </cell>
          <cell r="AZ112">
            <v>587</v>
          </cell>
          <cell r="BA112">
            <v>1761</v>
          </cell>
          <cell r="BB112">
            <v>1761</v>
          </cell>
          <cell r="BC112" t="str">
            <v>Непосредственное</v>
          </cell>
          <cell r="BD112" t="str">
            <v>1. Жилой дом</v>
          </cell>
          <cell r="BE112">
            <v>53.4</v>
          </cell>
          <cell r="BF112" t="str">
            <v>1.Оцинкованный</v>
          </cell>
          <cell r="BG112">
            <v>53.399993896484375</v>
          </cell>
          <cell r="BH112" t="str">
            <v>3.Водяной</v>
          </cell>
          <cell r="BI112" t="str">
            <v>МУП УИС</v>
          </cell>
          <cell r="BJ112" t="str">
            <v>1. Чугун</v>
          </cell>
          <cell r="BK112">
            <v>53.399993896484375</v>
          </cell>
          <cell r="BL112" t="str">
            <v>2.Кирпич</v>
          </cell>
          <cell r="BM112">
            <v>20821</v>
          </cell>
          <cell r="BN112">
            <v>18</v>
          </cell>
          <cell r="BO112" t="str">
            <v>Оборудован</v>
          </cell>
          <cell r="BP112" t="str">
            <v>1.Абсоцемент(шифер)</v>
          </cell>
          <cell r="BQ112" t="str">
            <v>1.Скатная</v>
          </cell>
          <cell r="BR112">
            <v>585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 t="str">
            <v>3.Частный жилищный фонд</v>
          </cell>
          <cell r="BX112">
            <v>18</v>
          </cell>
          <cell r="BY112">
            <v>0</v>
          </cell>
          <cell r="BZ112" t="str">
            <v>2-я</v>
          </cell>
          <cell r="CA112">
            <v>1</v>
          </cell>
          <cell r="CB112">
            <v>27.01</v>
          </cell>
          <cell r="CC112">
            <v>1</v>
          </cell>
          <cell r="CD112">
            <v>1</v>
          </cell>
          <cell r="CE112">
            <v>1</v>
          </cell>
          <cell r="CF112" t="str">
            <v>ООО "Гранд"</v>
          </cell>
          <cell r="CG112">
            <v>17</v>
          </cell>
          <cell r="CH112">
            <v>1</v>
          </cell>
          <cell r="CI112">
            <v>1</v>
          </cell>
          <cell r="CJ112">
            <v>1</v>
          </cell>
          <cell r="CK112">
            <v>0</v>
          </cell>
          <cell r="CL112">
            <v>0</v>
          </cell>
          <cell r="CM112">
            <v>22</v>
          </cell>
          <cell r="CN112">
            <v>87.5</v>
          </cell>
          <cell r="CO112">
            <v>0</v>
          </cell>
          <cell r="CP112">
            <v>87.5</v>
          </cell>
          <cell r="CQ112">
            <v>87.5</v>
          </cell>
          <cell r="CR112">
            <v>87.5</v>
          </cell>
          <cell r="CS112">
            <v>0</v>
          </cell>
          <cell r="CT112">
            <v>18</v>
          </cell>
          <cell r="CU112">
            <v>0</v>
          </cell>
          <cell r="CV112">
            <v>0</v>
          </cell>
          <cell r="CW112">
            <v>0</v>
          </cell>
          <cell r="CX112">
            <v>1</v>
          </cell>
          <cell r="CY112">
            <v>1</v>
          </cell>
          <cell r="CZ112">
            <v>4163</v>
          </cell>
          <cell r="DA112" t="str">
            <v>Демский</v>
          </cell>
          <cell r="DB112" t="str">
            <v>3.Сборные ж/б панели</v>
          </cell>
          <cell r="DC112">
            <v>4163</v>
          </cell>
          <cell r="DD112">
            <v>4163</v>
          </cell>
          <cell r="DE112">
            <v>4163</v>
          </cell>
          <cell r="DF112">
            <v>4163</v>
          </cell>
          <cell r="DG112">
            <v>4163</v>
          </cell>
          <cell r="DH112">
            <v>4163</v>
          </cell>
          <cell r="DI112">
            <v>4163</v>
          </cell>
          <cell r="DJ112">
            <v>4163</v>
          </cell>
          <cell r="DK112">
            <v>0</v>
          </cell>
          <cell r="DL112">
            <v>0</v>
          </cell>
          <cell r="DM112">
            <v>1691784</v>
          </cell>
          <cell r="DN112">
            <v>2</v>
          </cell>
          <cell r="DO112">
            <v>2</v>
          </cell>
          <cell r="DP112" t="str">
            <v>ЖРЭУ</v>
          </cell>
          <cell r="DQ112">
            <v>2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 t="str">
            <v>3.Зависимая схема</v>
          </cell>
          <cell r="EE112" t="str">
            <v>Верхний</v>
          </cell>
          <cell r="EF112">
            <v>0</v>
          </cell>
          <cell r="EG112">
            <v>0</v>
          </cell>
          <cell r="EH112">
            <v>0</v>
          </cell>
          <cell r="EI112">
            <v>1761</v>
          </cell>
          <cell r="EJ112">
            <v>99</v>
          </cell>
          <cell r="EK112">
            <v>310</v>
          </cell>
          <cell r="EL112">
            <v>97</v>
          </cell>
          <cell r="EM112">
            <v>81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</v>
          </cell>
          <cell r="FE112">
            <v>0</v>
          </cell>
          <cell r="FF112">
            <v>14.11</v>
          </cell>
          <cell r="FG112">
            <v>14.109992980957031</v>
          </cell>
          <cell r="FH112" t="str">
            <v>С УЛК (ЖЭУ)</v>
          </cell>
          <cell r="FI112">
            <v>43466</v>
          </cell>
          <cell r="FJ112">
            <v>15477</v>
          </cell>
          <cell r="FK112">
            <v>15477</v>
          </cell>
          <cell r="FL112">
            <v>985.9</v>
          </cell>
          <cell r="FM112">
            <v>78.92</v>
          </cell>
          <cell r="FN112">
            <v>1906.74</v>
          </cell>
          <cell r="FO112">
            <v>5720.22</v>
          </cell>
        </row>
        <row r="113">
          <cell r="AI113" t="str">
            <v>Ул. Таллинская дом 26/1</v>
          </cell>
          <cell r="AJ113">
            <v>5720.21875</v>
          </cell>
          <cell r="AK113">
            <v>2059</v>
          </cell>
          <cell r="AL113">
            <v>1346.7</v>
          </cell>
          <cell r="AM113">
            <v>3</v>
          </cell>
          <cell r="AN113">
            <v>3</v>
          </cell>
          <cell r="AO113" t="str">
            <v>АО УЖХ Демского района</v>
          </cell>
          <cell r="AP113">
            <v>1884.2</v>
          </cell>
          <cell r="AQ113">
            <v>169.1</v>
          </cell>
          <cell r="AR113">
            <v>172.5</v>
          </cell>
          <cell r="AS113">
            <v>6.6</v>
          </cell>
          <cell r="AT113">
            <v>48</v>
          </cell>
          <cell r="AU113">
            <v>4</v>
          </cell>
          <cell r="AV113">
            <v>122</v>
          </cell>
          <cell r="AW113">
            <v>0</v>
          </cell>
          <cell r="AX113">
            <v>0</v>
          </cell>
          <cell r="AY113">
            <v>0</v>
          </cell>
          <cell r="AZ113">
            <v>433.5</v>
          </cell>
          <cell r="BA113">
            <v>2192.6999999999998</v>
          </cell>
          <cell r="BB113">
            <v>2192.69921875</v>
          </cell>
          <cell r="BC113" t="str">
            <v>Управляющая компания</v>
          </cell>
          <cell r="BD113" t="str">
            <v>1. Жилой дом</v>
          </cell>
          <cell r="BE113">
            <v>50.2</v>
          </cell>
          <cell r="BF113" t="str">
            <v>1.Оцинкованный</v>
          </cell>
          <cell r="BG113">
            <v>50.199981689453125</v>
          </cell>
          <cell r="BH113" t="str">
            <v>3.Водяной</v>
          </cell>
          <cell r="BI113" t="str">
            <v>МУП УИС</v>
          </cell>
          <cell r="BJ113" t="str">
            <v>1. Чугун</v>
          </cell>
          <cell r="BK113">
            <v>50.199981689453125</v>
          </cell>
          <cell r="BL113" t="str">
            <v>8.Сборные ж/б</v>
          </cell>
          <cell r="BM113">
            <v>22282</v>
          </cell>
          <cell r="BN113">
            <v>48</v>
          </cell>
          <cell r="BO113" t="str">
            <v>Оборудован</v>
          </cell>
          <cell r="BP113" t="str">
            <v>1.Абсоцемент(шифер)</v>
          </cell>
          <cell r="BQ113" t="str">
            <v>1.Скатная</v>
          </cell>
          <cell r="BR113">
            <v>832.3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 t="str">
            <v>3.Частный жилищный фонд</v>
          </cell>
          <cell r="BX113">
            <v>48</v>
          </cell>
          <cell r="BY113">
            <v>0</v>
          </cell>
          <cell r="BZ113" t="str">
            <v>2-я</v>
          </cell>
          <cell r="CA113">
            <v>1</v>
          </cell>
          <cell r="CB113">
            <v>27.01</v>
          </cell>
          <cell r="CC113">
            <v>1</v>
          </cell>
          <cell r="CD113">
            <v>1</v>
          </cell>
          <cell r="CE113">
            <v>2053.3000000000002</v>
          </cell>
          <cell r="CF113" t="str">
            <v>ООО "Гранд"</v>
          </cell>
          <cell r="CG113">
            <v>44</v>
          </cell>
          <cell r="CH113">
            <v>4</v>
          </cell>
          <cell r="CI113">
            <v>4</v>
          </cell>
          <cell r="CJ113">
            <v>4</v>
          </cell>
          <cell r="CK113">
            <v>0</v>
          </cell>
          <cell r="CL113">
            <v>0</v>
          </cell>
          <cell r="CM113">
            <v>48</v>
          </cell>
          <cell r="CN113">
            <v>179.1</v>
          </cell>
          <cell r="CO113">
            <v>0</v>
          </cell>
          <cell r="CP113">
            <v>179.1</v>
          </cell>
          <cell r="CQ113">
            <v>179.0999755859375</v>
          </cell>
          <cell r="CR113">
            <v>179.0999755859375</v>
          </cell>
          <cell r="CS113">
            <v>0</v>
          </cell>
          <cell r="CT113">
            <v>48</v>
          </cell>
          <cell r="CU113">
            <v>0</v>
          </cell>
          <cell r="CV113">
            <v>38</v>
          </cell>
          <cell r="CW113">
            <v>0</v>
          </cell>
          <cell r="CX113">
            <v>1</v>
          </cell>
          <cell r="CY113">
            <v>1</v>
          </cell>
          <cell r="CZ113">
            <v>7273</v>
          </cell>
          <cell r="DA113" t="str">
            <v>Демский</v>
          </cell>
          <cell r="DB113" t="str">
            <v>3.Сборные ж/б панели</v>
          </cell>
          <cell r="DC113">
            <v>7273</v>
          </cell>
          <cell r="DD113">
            <v>7273</v>
          </cell>
          <cell r="DE113">
            <v>7273</v>
          </cell>
          <cell r="DF113">
            <v>7273</v>
          </cell>
          <cell r="DG113">
            <v>7273</v>
          </cell>
          <cell r="DH113">
            <v>7273</v>
          </cell>
          <cell r="DI113">
            <v>7273</v>
          </cell>
          <cell r="DJ113">
            <v>7273</v>
          </cell>
          <cell r="DK113">
            <v>0</v>
          </cell>
          <cell r="DL113">
            <v>0</v>
          </cell>
          <cell r="DM113">
            <v>2600954</v>
          </cell>
          <cell r="DN113">
            <v>2</v>
          </cell>
          <cell r="DO113">
            <v>2</v>
          </cell>
          <cell r="DP113" t="str">
            <v>ЖРЭУ</v>
          </cell>
          <cell r="DQ113">
            <v>2</v>
          </cell>
          <cell r="DR113">
            <v>0</v>
          </cell>
          <cell r="DS113">
            <v>48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 t="str">
            <v>3.Зависимая схема</v>
          </cell>
          <cell r="EE113" t="str">
            <v>Верхний</v>
          </cell>
          <cell r="EF113">
            <v>0</v>
          </cell>
          <cell r="EG113">
            <v>0</v>
          </cell>
          <cell r="EH113">
            <v>0</v>
          </cell>
          <cell r="EI113">
            <v>2192.6999999999998</v>
          </cell>
          <cell r="EJ113">
            <v>150.6</v>
          </cell>
          <cell r="EK113">
            <v>167.2</v>
          </cell>
          <cell r="EL113">
            <v>167.199951171875</v>
          </cell>
          <cell r="EM113">
            <v>115.7</v>
          </cell>
          <cell r="EN113">
            <v>0</v>
          </cell>
          <cell r="EO113">
            <v>0</v>
          </cell>
          <cell r="EP113">
            <v>0</v>
          </cell>
          <cell r="EQ113">
            <v>0</v>
          </cell>
          <cell r="ER113">
            <v>0</v>
          </cell>
          <cell r="ES113">
            <v>0</v>
          </cell>
          <cell r="ET113">
            <v>0</v>
          </cell>
          <cell r="EU113">
            <v>0</v>
          </cell>
          <cell r="EV113">
            <v>0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16.2</v>
          </cell>
          <cell r="FG113">
            <v>2</v>
          </cell>
          <cell r="FH113">
            <v>2</v>
          </cell>
          <cell r="FI113">
            <v>43122</v>
          </cell>
          <cell r="FJ113">
            <v>15477</v>
          </cell>
          <cell r="FK113">
            <v>15477</v>
          </cell>
          <cell r="FL113">
            <v>2238.1</v>
          </cell>
          <cell r="FM113">
            <v>78.92</v>
          </cell>
          <cell r="FN113">
            <v>5084.6399999999994</v>
          </cell>
          <cell r="FO113">
            <v>15253.919999999998</v>
          </cell>
        </row>
        <row r="114">
          <cell r="AI114" t="str">
            <v>Ул. Таллинская дом 28</v>
          </cell>
          <cell r="AJ114">
            <v>15253.9140625</v>
          </cell>
          <cell r="AK114">
            <v>870.4</v>
          </cell>
          <cell r="AL114">
            <v>571.29999999999995</v>
          </cell>
          <cell r="AM114">
            <v>2</v>
          </cell>
          <cell r="AN114">
            <v>2</v>
          </cell>
          <cell r="AO114" t="str">
            <v>АО УЖХ Демского района</v>
          </cell>
          <cell r="AP114">
            <v>818.36</v>
          </cell>
          <cell r="AQ114">
            <v>52.24</v>
          </cell>
          <cell r="AR114">
            <v>73.2</v>
          </cell>
          <cell r="AS114">
            <v>4.5</v>
          </cell>
          <cell r="AT114">
            <v>18</v>
          </cell>
          <cell r="AU114">
            <v>3</v>
          </cell>
          <cell r="AV114">
            <v>40</v>
          </cell>
          <cell r="AW114">
            <v>0</v>
          </cell>
          <cell r="AX114">
            <v>0</v>
          </cell>
          <cell r="AY114">
            <v>0</v>
          </cell>
          <cell r="AZ114">
            <v>435</v>
          </cell>
          <cell r="BA114">
            <v>2032</v>
          </cell>
          <cell r="BB114">
            <v>2032</v>
          </cell>
          <cell r="BC114" t="str">
            <v>Непосредственное</v>
          </cell>
          <cell r="BD114" t="str">
            <v>1. Жилой дом</v>
          </cell>
          <cell r="BE114">
            <v>52.6</v>
          </cell>
          <cell r="BF114" t="str">
            <v>1.Оцинкованный</v>
          </cell>
          <cell r="BG114">
            <v>52.5999755859375</v>
          </cell>
          <cell r="BH114" t="str">
            <v>3.Водяной</v>
          </cell>
          <cell r="BI114" t="str">
            <v>МУП УИС</v>
          </cell>
          <cell r="BJ114" t="str">
            <v>1. Чугун</v>
          </cell>
          <cell r="BK114">
            <v>52.5999755859375</v>
          </cell>
          <cell r="BL114" t="str">
            <v>2.Кирпич</v>
          </cell>
          <cell r="BM114">
            <v>21186</v>
          </cell>
          <cell r="BN114">
            <v>18</v>
          </cell>
          <cell r="BO114" t="str">
            <v>Оборудован</v>
          </cell>
          <cell r="BP114" t="str">
            <v>1.Абсоцемент(шифер)</v>
          </cell>
          <cell r="BQ114" t="str">
            <v>1.Скатная</v>
          </cell>
          <cell r="BR114">
            <v>585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 t="str">
            <v>3.Частный жилищный фонд</v>
          </cell>
          <cell r="BX114">
            <v>18</v>
          </cell>
          <cell r="BY114">
            <v>0</v>
          </cell>
          <cell r="BZ114" t="str">
            <v>2-я</v>
          </cell>
          <cell r="CA114">
            <v>1</v>
          </cell>
          <cell r="CB114">
            <v>27.01</v>
          </cell>
          <cell r="CC114">
            <v>1</v>
          </cell>
          <cell r="CD114">
            <v>1</v>
          </cell>
          <cell r="CE114">
            <v>1</v>
          </cell>
          <cell r="CF114" t="str">
            <v>ООО "Гранд"</v>
          </cell>
          <cell r="CG114">
            <v>17</v>
          </cell>
          <cell r="CH114">
            <v>1</v>
          </cell>
          <cell r="CI114">
            <v>1</v>
          </cell>
          <cell r="CJ114">
            <v>1</v>
          </cell>
          <cell r="CK114">
            <v>0</v>
          </cell>
          <cell r="CL114">
            <v>0</v>
          </cell>
          <cell r="CM114">
            <v>19</v>
          </cell>
          <cell r="CN114">
            <v>77.7</v>
          </cell>
          <cell r="CO114">
            <v>0</v>
          </cell>
          <cell r="CP114">
            <v>77.7</v>
          </cell>
          <cell r="CQ114">
            <v>77.699951171875</v>
          </cell>
          <cell r="CR114">
            <v>77.699951171875</v>
          </cell>
          <cell r="CS114">
            <v>0</v>
          </cell>
          <cell r="CT114">
            <v>18</v>
          </cell>
          <cell r="CU114">
            <v>0</v>
          </cell>
          <cell r="CV114">
            <v>0</v>
          </cell>
          <cell r="CW114">
            <v>0</v>
          </cell>
          <cell r="CX114">
            <v>1</v>
          </cell>
          <cell r="CY114">
            <v>1</v>
          </cell>
          <cell r="CZ114">
            <v>4226</v>
          </cell>
          <cell r="DA114" t="str">
            <v>Демский</v>
          </cell>
          <cell r="DB114" t="str">
            <v>3.Сборные ж/б панели</v>
          </cell>
          <cell r="DC114">
            <v>4226</v>
          </cell>
          <cell r="DD114">
            <v>4226</v>
          </cell>
          <cell r="DE114">
            <v>4226</v>
          </cell>
          <cell r="DF114">
            <v>4226</v>
          </cell>
          <cell r="DG114">
            <v>4226</v>
          </cell>
          <cell r="DH114">
            <v>4226</v>
          </cell>
          <cell r="DI114">
            <v>4226</v>
          </cell>
          <cell r="DJ114">
            <v>4226</v>
          </cell>
          <cell r="DK114">
            <v>0</v>
          </cell>
          <cell r="DL114">
            <v>0</v>
          </cell>
          <cell r="DM114">
            <v>1666157</v>
          </cell>
          <cell r="DN114">
            <v>0</v>
          </cell>
          <cell r="DO114">
            <v>0</v>
          </cell>
          <cell r="DP114" t="str">
            <v>УЖХ</v>
          </cell>
          <cell r="DQ114">
            <v>35565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 t="str">
            <v>3.Зависимая схема</v>
          </cell>
          <cell r="EE114" t="str">
            <v>Верхний</v>
          </cell>
          <cell r="EF114">
            <v>0</v>
          </cell>
          <cell r="EG114">
            <v>0</v>
          </cell>
          <cell r="EH114">
            <v>200</v>
          </cell>
          <cell r="EI114">
            <v>1702</v>
          </cell>
          <cell r="EJ114">
            <v>131</v>
          </cell>
          <cell r="EK114">
            <v>260</v>
          </cell>
          <cell r="EL114">
            <v>0</v>
          </cell>
          <cell r="EM114">
            <v>44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0</v>
          </cell>
          <cell r="EU114">
            <v>130</v>
          </cell>
          <cell r="EV114">
            <v>1</v>
          </cell>
          <cell r="EW114">
            <v>1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14.11</v>
          </cell>
          <cell r="FG114">
            <v>14.109992980957031</v>
          </cell>
          <cell r="FH114" t="str">
            <v>С УЛК (ЖЭУ)</v>
          </cell>
          <cell r="FI114">
            <v>42309</v>
          </cell>
          <cell r="FJ114">
            <v>15477</v>
          </cell>
          <cell r="FK114">
            <v>15477</v>
          </cell>
          <cell r="FL114">
            <v>948.1</v>
          </cell>
          <cell r="FM114">
            <v>78.92</v>
          </cell>
          <cell r="FN114">
            <v>1906.74</v>
          </cell>
          <cell r="FO114">
            <v>5720.22</v>
          </cell>
        </row>
        <row r="115">
          <cell r="AI115" t="str">
            <v>Ул. Таллинская дом 28/1</v>
          </cell>
          <cell r="AJ115">
            <v>5720.21875</v>
          </cell>
          <cell r="AK115">
            <v>2051.9</v>
          </cell>
          <cell r="AL115">
            <v>1341.4</v>
          </cell>
          <cell r="AM115">
            <v>3</v>
          </cell>
          <cell r="AN115">
            <v>3</v>
          </cell>
          <cell r="AO115" t="str">
            <v>АО УЖХ Демского района</v>
          </cell>
          <cell r="AP115">
            <v>1956.3</v>
          </cell>
          <cell r="AQ115">
            <v>89.5</v>
          </cell>
          <cell r="AR115">
            <v>172.5</v>
          </cell>
          <cell r="AS115">
            <v>6.6</v>
          </cell>
          <cell r="AT115">
            <v>48</v>
          </cell>
          <cell r="AU115">
            <v>4</v>
          </cell>
          <cell r="AV115">
            <v>95</v>
          </cell>
          <cell r="AW115">
            <v>0</v>
          </cell>
          <cell r="AX115">
            <v>0</v>
          </cell>
          <cell r="AY115">
            <v>0</v>
          </cell>
          <cell r="AZ115">
            <v>588.5</v>
          </cell>
          <cell r="BA115">
            <v>2391</v>
          </cell>
          <cell r="BB115">
            <v>2391</v>
          </cell>
          <cell r="BC115" t="str">
            <v>Управляющая компания</v>
          </cell>
          <cell r="BD115" t="str">
            <v>1. Жилой дом</v>
          </cell>
          <cell r="BE115">
            <v>50.2</v>
          </cell>
          <cell r="BF115" t="str">
            <v>1.Оцинкованный</v>
          </cell>
          <cell r="BG115">
            <v>50.199981689453125</v>
          </cell>
          <cell r="BH115" t="str">
            <v>3.Водяной</v>
          </cell>
          <cell r="BI115" t="str">
            <v>МУП УИС</v>
          </cell>
          <cell r="BJ115" t="str">
            <v>1. Чугун</v>
          </cell>
          <cell r="BK115">
            <v>50.199981689453125</v>
          </cell>
          <cell r="BL115" t="str">
            <v>8.Сборные ж/б</v>
          </cell>
          <cell r="BM115">
            <v>22282</v>
          </cell>
          <cell r="BN115">
            <v>48</v>
          </cell>
          <cell r="BO115" t="str">
            <v>Оборудован</v>
          </cell>
          <cell r="BP115" t="str">
            <v>8.Профнастил</v>
          </cell>
          <cell r="BQ115" t="str">
            <v>1.Скатная</v>
          </cell>
          <cell r="BR115">
            <v>825.9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 t="str">
            <v>3.Частный жилищный фонд</v>
          </cell>
          <cell r="BX115">
            <v>48</v>
          </cell>
          <cell r="BY115">
            <v>0</v>
          </cell>
          <cell r="BZ115" t="str">
            <v>2-я</v>
          </cell>
          <cell r="CA115">
            <v>1</v>
          </cell>
          <cell r="CB115">
            <v>27.01</v>
          </cell>
          <cell r="CC115">
            <v>1</v>
          </cell>
          <cell r="CD115">
            <v>1</v>
          </cell>
          <cell r="CE115">
            <v>2045.8</v>
          </cell>
          <cell r="CF115" t="str">
            <v>ООО "Гранд"</v>
          </cell>
          <cell r="CG115">
            <v>46</v>
          </cell>
          <cell r="CH115">
            <v>2</v>
          </cell>
          <cell r="CI115">
            <v>2</v>
          </cell>
          <cell r="CJ115">
            <v>2</v>
          </cell>
          <cell r="CK115">
            <v>0</v>
          </cell>
          <cell r="CL115">
            <v>0</v>
          </cell>
          <cell r="CM115">
            <v>48</v>
          </cell>
          <cell r="CN115">
            <v>179.1</v>
          </cell>
          <cell r="CO115">
            <v>0</v>
          </cell>
          <cell r="CP115">
            <v>179.1</v>
          </cell>
          <cell r="CQ115">
            <v>179.0999755859375</v>
          </cell>
          <cell r="CR115">
            <v>179.0999755859375</v>
          </cell>
          <cell r="CS115">
            <v>1</v>
          </cell>
          <cell r="CT115">
            <v>48</v>
          </cell>
          <cell r="CU115">
            <v>0</v>
          </cell>
          <cell r="CV115">
            <v>33</v>
          </cell>
          <cell r="CW115">
            <v>0</v>
          </cell>
          <cell r="CX115">
            <v>1</v>
          </cell>
          <cell r="CY115">
            <v>1</v>
          </cell>
          <cell r="CZ115">
            <v>7115</v>
          </cell>
          <cell r="DA115" t="str">
            <v>Демский</v>
          </cell>
          <cell r="DB115" t="str">
            <v>3.Сборные ж/б панели</v>
          </cell>
          <cell r="DC115">
            <v>7115</v>
          </cell>
          <cell r="DD115">
            <v>7115</v>
          </cell>
          <cell r="DE115">
            <v>7115</v>
          </cell>
          <cell r="DF115">
            <v>7115</v>
          </cell>
          <cell r="DG115">
            <v>7115</v>
          </cell>
          <cell r="DH115">
            <v>7115</v>
          </cell>
          <cell r="DI115">
            <v>7115</v>
          </cell>
          <cell r="DJ115">
            <v>7115</v>
          </cell>
          <cell r="DK115">
            <v>0</v>
          </cell>
          <cell r="DL115">
            <v>0</v>
          </cell>
          <cell r="DM115">
            <v>2468796</v>
          </cell>
          <cell r="DN115">
            <v>2</v>
          </cell>
          <cell r="DO115">
            <v>2</v>
          </cell>
          <cell r="DP115" t="str">
            <v>УЖХ</v>
          </cell>
          <cell r="DQ115">
            <v>39258</v>
          </cell>
          <cell r="DR115">
            <v>0</v>
          </cell>
          <cell r="DS115">
            <v>48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 t="str">
            <v>3.Зависимая схема</v>
          </cell>
          <cell r="EE115" t="str">
            <v>Верхний</v>
          </cell>
          <cell r="EF115">
            <v>0</v>
          </cell>
          <cell r="EG115">
            <v>0</v>
          </cell>
          <cell r="EH115">
            <v>22</v>
          </cell>
          <cell r="EI115">
            <v>2369</v>
          </cell>
          <cell r="EJ115">
            <v>37.1</v>
          </cell>
          <cell r="EK115">
            <v>316.3</v>
          </cell>
          <cell r="EL115">
            <v>140</v>
          </cell>
          <cell r="EM115">
            <v>44.7</v>
          </cell>
          <cell r="EN115">
            <v>5</v>
          </cell>
          <cell r="EO115">
            <v>5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0</v>
          </cell>
          <cell r="EW115">
            <v>10</v>
          </cell>
          <cell r="EX115">
            <v>1</v>
          </cell>
          <cell r="EY115">
            <v>1</v>
          </cell>
          <cell r="EZ115">
            <v>0</v>
          </cell>
          <cell r="FA115">
            <v>50.4</v>
          </cell>
          <cell r="FB115">
            <v>1</v>
          </cell>
          <cell r="FC115">
            <v>1</v>
          </cell>
          <cell r="FD115">
            <v>0</v>
          </cell>
          <cell r="FE115">
            <v>0</v>
          </cell>
          <cell r="FF115">
            <v>15.48</v>
          </cell>
          <cell r="FG115">
            <v>2</v>
          </cell>
          <cell r="FH115">
            <v>2</v>
          </cell>
          <cell r="FI115">
            <v>44713</v>
          </cell>
          <cell r="FJ115">
            <v>15477</v>
          </cell>
          <cell r="FK115">
            <v>15477</v>
          </cell>
          <cell r="FL115">
            <v>2231</v>
          </cell>
          <cell r="FM115">
            <v>78.92</v>
          </cell>
          <cell r="FN115">
            <v>5084.6399999999994</v>
          </cell>
          <cell r="FO115">
            <v>15253.919999999998</v>
          </cell>
        </row>
        <row r="116">
          <cell r="AI116" t="str">
            <v>Ул. 1-я Строителей дом 44</v>
          </cell>
          <cell r="AJ116">
            <v>15253.9140625</v>
          </cell>
          <cell r="AK116">
            <v>1257</v>
          </cell>
          <cell r="AL116">
            <v>666.6</v>
          </cell>
          <cell r="AM116">
            <v>2</v>
          </cell>
          <cell r="AN116">
            <v>2</v>
          </cell>
          <cell r="AO116" t="str">
            <v>АО УЖХ Демского района</v>
          </cell>
          <cell r="AP116">
            <v>1257</v>
          </cell>
          <cell r="AQ116">
            <v>0</v>
          </cell>
          <cell r="AR116">
            <v>54.2</v>
          </cell>
          <cell r="AS116">
            <v>170.7</v>
          </cell>
          <cell r="AT116">
            <v>36</v>
          </cell>
          <cell r="AU116">
            <v>3</v>
          </cell>
          <cell r="AV116">
            <v>60</v>
          </cell>
          <cell r="AW116">
            <v>60</v>
          </cell>
          <cell r="AX116">
            <v>60</v>
          </cell>
          <cell r="AY116">
            <v>60</v>
          </cell>
          <cell r="AZ116">
            <v>1232.5999999999999</v>
          </cell>
          <cell r="BA116">
            <v>1749</v>
          </cell>
          <cell r="BB116">
            <v>1749</v>
          </cell>
          <cell r="BC116" t="str">
            <v>Управляющая компания</v>
          </cell>
          <cell r="BD116" t="str">
            <v>1. Жилой дом</v>
          </cell>
          <cell r="BE116">
            <v>7.52</v>
          </cell>
          <cell r="BF116" t="str">
            <v>2.Чёрный</v>
          </cell>
          <cell r="BG116" t="str">
            <v>3.Индив. котел</v>
          </cell>
          <cell r="BH116" t="str">
            <v>2.Газовый</v>
          </cell>
          <cell r="BI116">
            <v>7.5199966430664063</v>
          </cell>
          <cell r="BJ116" t="str">
            <v>2. ПВХ</v>
          </cell>
          <cell r="BK116">
            <v>7.5199966430664063</v>
          </cell>
          <cell r="BL116" t="str">
            <v>14.Кирпич+пенопол</v>
          </cell>
          <cell r="BM116">
            <v>41275</v>
          </cell>
          <cell r="BN116">
            <v>36</v>
          </cell>
          <cell r="BO116" t="str">
            <v>Оборудован</v>
          </cell>
          <cell r="BP116" t="str">
            <v>8.Профнастил</v>
          </cell>
          <cell r="BQ116" t="str">
            <v>1.Скатная</v>
          </cell>
          <cell r="BR116">
            <v>751</v>
          </cell>
          <cell r="BS116">
            <v>35.700000000000003</v>
          </cell>
          <cell r="BT116">
            <v>35.699981689453125</v>
          </cell>
          <cell r="BU116">
            <v>35.699981689453125</v>
          </cell>
          <cell r="BV116">
            <v>35.699981689453125</v>
          </cell>
          <cell r="BW116" t="str">
            <v>3.Частный жилищный фонд</v>
          </cell>
          <cell r="BX116">
            <v>36</v>
          </cell>
          <cell r="BY116">
            <v>36</v>
          </cell>
          <cell r="BZ116" t="str">
            <v>1-я</v>
          </cell>
          <cell r="CA116">
            <v>1</v>
          </cell>
          <cell r="CB116">
            <v>27.01</v>
          </cell>
          <cell r="CC116">
            <v>1</v>
          </cell>
          <cell r="CD116">
            <v>1</v>
          </cell>
          <cell r="CE116">
            <v>1</v>
          </cell>
          <cell r="CF116" t="str">
            <v>ООО "Гранд"</v>
          </cell>
          <cell r="CG116">
            <v>36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36</v>
          </cell>
          <cell r="CN116">
            <v>224.9</v>
          </cell>
          <cell r="CO116">
            <v>0</v>
          </cell>
          <cell r="CP116">
            <v>260.60000000000002</v>
          </cell>
          <cell r="CQ116">
            <v>260.599853515625</v>
          </cell>
          <cell r="CR116">
            <v>260.599853515625</v>
          </cell>
          <cell r="CS116">
            <v>2</v>
          </cell>
          <cell r="CT116">
            <v>36</v>
          </cell>
          <cell r="CU116">
            <v>36</v>
          </cell>
          <cell r="CV116">
            <v>24</v>
          </cell>
          <cell r="CW116">
            <v>0</v>
          </cell>
          <cell r="CX116">
            <v>0</v>
          </cell>
          <cell r="CY116">
            <v>0</v>
          </cell>
          <cell r="CZ116">
            <v>6850</v>
          </cell>
          <cell r="DA116" t="str">
            <v>Демский</v>
          </cell>
          <cell r="DB116" t="str">
            <v>3.Сборные ж/б панели</v>
          </cell>
          <cell r="DC116">
            <v>6850</v>
          </cell>
          <cell r="DD116">
            <v>6850</v>
          </cell>
          <cell r="DE116">
            <v>6850</v>
          </cell>
          <cell r="DF116">
            <v>6850</v>
          </cell>
          <cell r="DG116">
            <v>6850</v>
          </cell>
          <cell r="DH116">
            <v>6850</v>
          </cell>
          <cell r="DI116">
            <v>6850</v>
          </cell>
          <cell r="DJ116">
            <v>6850</v>
          </cell>
          <cell r="DK116">
            <v>6850</v>
          </cell>
          <cell r="DL116">
            <v>6850</v>
          </cell>
          <cell r="DM116">
            <v>5447497</v>
          </cell>
          <cell r="DN116">
            <v>0</v>
          </cell>
          <cell r="DO116">
            <v>0</v>
          </cell>
          <cell r="DP116" t="str">
            <v>УЖХ</v>
          </cell>
          <cell r="DQ116">
            <v>41696</v>
          </cell>
          <cell r="DR116">
            <v>0</v>
          </cell>
          <cell r="DS116">
            <v>36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1749</v>
          </cell>
          <cell r="EI116">
            <v>1749</v>
          </cell>
          <cell r="EJ116">
            <v>0</v>
          </cell>
          <cell r="EK116">
            <v>969.9</v>
          </cell>
          <cell r="EL116">
            <v>0</v>
          </cell>
          <cell r="EM116">
            <v>262.7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20.100000000000001</v>
          </cell>
          <cell r="FG116">
            <v>20.099990844726563</v>
          </cell>
          <cell r="FH116" t="str">
            <v>С УЛК (ЖЭУ)</v>
          </cell>
          <cell r="FI116">
            <v>43466</v>
          </cell>
          <cell r="FJ116">
            <v>0</v>
          </cell>
          <cell r="FK116">
            <v>0</v>
          </cell>
          <cell r="FL116">
            <v>1565.6</v>
          </cell>
          <cell r="FM116">
            <v>78.92</v>
          </cell>
          <cell r="FN116">
            <v>3813.48</v>
          </cell>
          <cell r="FO116">
            <v>11440.44</v>
          </cell>
        </row>
        <row r="117">
          <cell r="AI117" t="str">
            <v>Ул. 1-я Строителей дом 46</v>
          </cell>
          <cell r="AJ117">
            <v>11440.4375</v>
          </cell>
          <cell r="AK117">
            <v>1964.4</v>
          </cell>
          <cell r="AL117">
            <v>1132.3</v>
          </cell>
          <cell r="AM117">
            <v>4</v>
          </cell>
          <cell r="AN117">
            <v>4</v>
          </cell>
          <cell r="AO117" t="str">
            <v>АО УЖХ Демского района</v>
          </cell>
          <cell r="AP117">
            <v>1964.4</v>
          </cell>
          <cell r="AQ117">
            <v>0</v>
          </cell>
          <cell r="AR117">
            <v>117.2</v>
          </cell>
          <cell r="AS117">
            <v>154.5</v>
          </cell>
          <cell r="AT117">
            <v>48</v>
          </cell>
          <cell r="AU117">
            <v>3</v>
          </cell>
          <cell r="AV117">
            <v>101</v>
          </cell>
          <cell r="AW117">
            <v>101</v>
          </cell>
          <cell r="AX117">
            <v>101</v>
          </cell>
          <cell r="AY117">
            <v>101</v>
          </cell>
          <cell r="AZ117">
            <v>2077.1</v>
          </cell>
          <cell r="BA117">
            <v>1922.7</v>
          </cell>
          <cell r="BB117">
            <v>1922.69921875</v>
          </cell>
          <cell r="BC117" t="str">
            <v>Управляющая компания</v>
          </cell>
          <cell r="BD117" t="str">
            <v>1. Жилой дом</v>
          </cell>
          <cell r="BE117">
            <v>7.52</v>
          </cell>
          <cell r="BF117" t="str">
            <v>2.Чёрный</v>
          </cell>
          <cell r="BG117" t="str">
            <v>3.Индив. котел</v>
          </cell>
          <cell r="BH117" t="str">
            <v>2.Газовый</v>
          </cell>
          <cell r="BI117">
            <v>7.5199966430664063</v>
          </cell>
          <cell r="BJ117" t="str">
            <v>2. ПВХ</v>
          </cell>
          <cell r="BK117">
            <v>7.5199966430664063</v>
          </cell>
          <cell r="BL117" t="str">
            <v>14.Кирпич+пенопол</v>
          </cell>
          <cell r="BM117">
            <v>41275</v>
          </cell>
          <cell r="BN117">
            <v>48</v>
          </cell>
          <cell r="BO117" t="str">
            <v>Оборудован</v>
          </cell>
          <cell r="BP117" t="str">
            <v>8.Профнастил</v>
          </cell>
          <cell r="BQ117" t="str">
            <v>1.Скатная</v>
          </cell>
          <cell r="BR117">
            <v>1144.3</v>
          </cell>
          <cell r="BS117">
            <v>28.4</v>
          </cell>
          <cell r="BT117">
            <v>28.399993896484375</v>
          </cell>
          <cell r="BU117">
            <v>28.399993896484375</v>
          </cell>
          <cell r="BV117">
            <v>28.399993896484375</v>
          </cell>
          <cell r="BW117" t="str">
            <v>3.Частный жилищный фонд</v>
          </cell>
          <cell r="BX117">
            <v>48</v>
          </cell>
          <cell r="BY117">
            <v>48</v>
          </cell>
          <cell r="BZ117" t="str">
            <v>1-я</v>
          </cell>
          <cell r="CA117">
            <v>1</v>
          </cell>
          <cell r="CB117">
            <v>27.01</v>
          </cell>
          <cell r="CC117">
            <v>1</v>
          </cell>
          <cell r="CD117">
            <v>1</v>
          </cell>
          <cell r="CE117">
            <v>1</v>
          </cell>
          <cell r="CF117" t="str">
            <v>ООО "Гранд"</v>
          </cell>
          <cell r="CG117">
            <v>48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48</v>
          </cell>
          <cell r="CN117">
            <v>271.7</v>
          </cell>
          <cell r="CO117">
            <v>0</v>
          </cell>
          <cell r="CP117">
            <v>300.10000000000002</v>
          </cell>
          <cell r="CQ117">
            <v>300.099853515625</v>
          </cell>
          <cell r="CR117">
            <v>300.099853515625</v>
          </cell>
          <cell r="CS117">
            <v>2</v>
          </cell>
          <cell r="CT117">
            <v>48</v>
          </cell>
          <cell r="CU117">
            <v>48</v>
          </cell>
          <cell r="CV117">
            <v>39</v>
          </cell>
          <cell r="CW117">
            <v>0</v>
          </cell>
          <cell r="CX117">
            <v>0</v>
          </cell>
          <cell r="CY117">
            <v>0</v>
          </cell>
          <cell r="CZ117">
            <v>10448</v>
          </cell>
          <cell r="DA117" t="str">
            <v>Демский</v>
          </cell>
          <cell r="DB117" t="str">
            <v>3.Сборные ж/б панели</v>
          </cell>
          <cell r="DC117">
            <v>10448</v>
          </cell>
          <cell r="DD117">
            <v>10448</v>
          </cell>
          <cell r="DE117">
            <v>10448</v>
          </cell>
          <cell r="DF117">
            <v>10448</v>
          </cell>
          <cell r="DG117">
            <v>10448</v>
          </cell>
          <cell r="DH117">
            <v>10448</v>
          </cell>
          <cell r="DI117">
            <v>10448</v>
          </cell>
          <cell r="DJ117">
            <v>10448</v>
          </cell>
          <cell r="DK117">
            <v>10448</v>
          </cell>
          <cell r="DL117">
            <v>10448</v>
          </cell>
          <cell r="DM117">
            <v>8391914</v>
          </cell>
          <cell r="DN117">
            <v>0</v>
          </cell>
          <cell r="DO117">
            <v>0</v>
          </cell>
          <cell r="DP117" t="str">
            <v>УЖХ</v>
          </cell>
          <cell r="DQ117">
            <v>41696</v>
          </cell>
          <cell r="DR117">
            <v>0</v>
          </cell>
          <cell r="DS117">
            <v>48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80</v>
          </cell>
          <cell r="EI117">
            <v>1842.7</v>
          </cell>
          <cell r="EJ117">
            <v>0</v>
          </cell>
          <cell r="EK117">
            <v>1607.3</v>
          </cell>
          <cell r="EL117">
            <v>10.3</v>
          </cell>
          <cell r="EM117">
            <v>459.5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20.59</v>
          </cell>
          <cell r="FG117">
            <v>2</v>
          </cell>
          <cell r="FH117">
            <v>2</v>
          </cell>
          <cell r="FI117">
            <v>43466</v>
          </cell>
          <cell r="FJ117">
            <v>0</v>
          </cell>
          <cell r="FK117">
            <v>0</v>
          </cell>
          <cell r="FL117">
            <v>2332.6</v>
          </cell>
          <cell r="FM117">
            <v>78.92</v>
          </cell>
          <cell r="FN117">
            <v>5084.6399999999994</v>
          </cell>
          <cell r="FO117">
            <v>15253.919999999998</v>
          </cell>
        </row>
        <row r="118">
          <cell r="AI118" t="str">
            <v>Ул. 1-я Строителей дом 42</v>
          </cell>
          <cell r="AJ118">
            <v>15253.9140625</v>
          </cell>
          <cell r="AK118">
            <v>1137.9000000000001</v>
          </cell>
          <cell r="AL118">
            <v>621.6</v>
          </cell>
          <cell r="AM118">
            <v>2</v>
          </cell>
          <cell r="AN118">
            <v>2</v>
          </cell>
          <cell r="AO118" t="str">
            <v>АО УЖХ Демского района</v>
          </cell>
          <cell r="AP118">
            <v>1096.3</v>
          </cell>
          <cell r="AQ118">
            <v>41.6</v>
          </cell>
          <cell r="AR118">
            <v>72.2</v>
          </cell>
          <cell r="AS118">
            <v>96.9</v>
          </cell>
          <cell r="AT118">
            <v>30</v>
          </cell>
          <cell r="AU118">
            <v>3</v>
          </cell>
          <cell r="AV118">
            <v>47</v>
          </cell>
          <cell r="AW118">
            <v>47</v>
          </cell>
          <cell r="AX118">
            <v>47</v>
          </cell>
          <cell r="AY118">
            <v>47</v>
          </cell>
          <cell r="AZ118">
            <v>1343.9</v>
          </cell>
          <cell r="BA118">
            <v>685.7</v>
          </cell>
          <cell r="BB118">
            <v>685.69970703125</v>
          </cell>
          <cell r="BC118" t="str">
            <v>Управляющая компания</v>
          </cell>
          <cell r="BD118" t="str">
            <v>1. Жилой дом</v>
          </cell>
          <cell r="BE118">
            <v>7.52</v>
          </cell>
          <cell r="BF118" t="str">
            <v>2.Чёрный</v>
          </cell>
          <cell r="BG118" t="str">
            <v>3.Индив. котел</v>
          </cell>
          <cell r="BH118" t="str">
            <v>2.Газовый</v>
          </cell>
          <cell r="BI118">
            <v>7.5199966430664063</v>
          </cell>
          <cell r="BJ118" t="str">
            <v>2. ПВХ</v>
          </cell>
          <cell r="BK118">
            <v>7.5199966430664063</v>
          </cell>
          <cell r="BL118" t="str">
            <v>14.Кирпич+пенопол</v>
          </cell>
          <cell r="BM118">
            <v>41275</v>
          </cell>
          <cell r="BN118">
            <v>30</v>
          </cell>
          <cell r="BO118" t="str">
            <v>Оборудован</v>
          </cell>
          <cell r="BP118" t="str">
            <v>8.Профнастил</v>
          </cell>
          <cell r="BQ118" t="str">
            <v>1.Скатная</v>
          </cell>
          <cell r="BR118">
            <v>665.7</v>
          </cell>
          <cell r="BS118">
            <v>24.4</v>
          </cell>
          <cell r="BT118">
            <v>24.399993896484375</v>
          </cell>
          <cell r="BU118">
            <v>24.399993896484375</v>
          </cell>
          <cell r="BV118">
            <v>24.399993896484375</v>
          </cell>
          <cell r="BW118" t="str">
            <v>3.Частный жилищный фонд</v>
          </cell>
          <cell r="BX118">
            <v>30</v>
          </cell>
          <cell r="BY118">
            <v>30</v>
          </cell>
          <cell r="BZ118" t="str">
            <v>1-я</v>
          </cell>
          <cell r="CA118">
            <v>1</v>
          </cell>
          <cell r="CB118">
            <v>27.01</v>
          </cell>
          <cell r="CC118">
            <v>1</v>
          </cell>
          <cell r="CD118">
            <v>1</v>
          </cell>
          <cell r="CE118">
            <v>1</v>
          </cell>
          <cell r="CF118" t="str">
            <v>ООО "Гранд"</v>
          </cell>
          <cell r="CG118">
            <v>29</v>
          </cell>
          <cell r="CH118">
            <v>1</v>
          </cell>
          <cell r="CI118">
            <v>1</v>
          </cell>
          <cell r="CJ118">
            <v>1</v>
          </cell>
          <cell r="CK118">
            <v>1</v>
          </cell>
          <cell r="CL118">
            <v>1</v>
          </cell>
          <cell r="CM118">
            <v>30</v>
          </cell>
          <cell r="CN118">
            <v>169.1</v>
          </cell>
          <cell r="CO118">
            <v>0</v>
          </cell>
          <cell r="CP118">
            <v>193.5</v>
          </cell>
          <cell r="CQ118">
            <v>193.5</v>
          </cell>
          <cell r="CR118">
            <v>193.5</v>
          </cell>
          <cell r="CS118">
            <v>2</v>
          </cell>
          <cell r="CT118">
            <v>30</v>
          </cell>
          <cell r="CU118">
            <v>30</v>
          </cell>
          <cell r="CV118">
            <v>26</v>
          </cell>
          <cell r="CW118">
            <v>0</v>
          </cell>
          <cell r="CX118">
            <v>0</v>
          </cell>
          <cell r="CY118">
            <v>0</v>
          </cell>
          <cell r="CZ118">
            <v>6058</v>
          </cell>
          <cell r="DA118" t="str">
            <v>Демский</v>
          </cell>
          <cell r="DB118" t="str">
            <v>3.Сборные ж/б панели</v>
          </cell>
          <cell r="DC118">
            <v>6058</v>
          </cell>
          <cell r="DD118">
            <v>6058</v>
          </cell>
          <cell r="DE118">
            <v>6058</v>
          </cell>
          <cell r="DF118">
            <v>6058</v>
          </cell>
          <cell r="DG118">
            <v>6058</v>
          </cell>
          <cell r="DH118">
            <v>6058</v>
          </cell>
          <cell r="DI118">
            <v>6058</v>
          </cell>
          <cell r="DJ118">
            <v>6058</v>
          </cell>
          <cell r="DK118">
            <v>6058</v>
          </cell>
          <cell r="DL118">
            <v>6058</v>
          </cell>
          <cell r="DM118">
            <v>4865835</v>
          </cell>
          <cell r="DN118">
            <v>2</v>
          </cell>
          <cell r="DO118">
            <v>2</v>
          </cell>
          <cell r="DP118" t="str">
            <v>УЖХ</v>
          </cell>
          <cell r="DQ118">
            <v>41696</v>
          </cell>
          <cell r="DR118">
            <v>0</v>
          </cell>
          <cell r="DS118">
            <v>30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685.7</v>
          </cell>
          <cell r="EI118">
            <v>685.69970703125</v>
          </cell>
          <cell r="EJ118">
            <v>0</v>
          </cell>
          <cell r="EK118">
            <v>902.9</v>
          </cell>
          <cell r="EL118">
            <v>0</v>
          </cell>
          <cell r="EM118">
            <v>421</v>
          </cell>
          <cell r="EN118">
            <v>2</v>
          </cell>
          <cell r="EO118">
            <v>2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20</v>
          </cell>
          <cell r="EX118">
            <v>1</v>
          </cell>
          <cell r="EY118">
            <v>1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19.29</v>
          </cell>
          <cell r="FG118">
            <v>2</v>
          </cell>
          <cell r="FH118">
            <v>2</v>
          </cell>
          <cell r="FI118">
            <v>44652</v>
          </cell>
          <cell r="FJ118">
            <v>0</v>
          </cell>
          <cell r="FK118">
            <v>0</v>
          </cell>
          <cell r="FL118">
            <v>1331.4</v>
          </cell>
          <cell r="FM118">
            <v>78.92</v>
          </cell>
          <cell r="FN118">
            <v>3177.9</v>
          </cell>
          <cell r="FO118">
            <v>9533.7000000000007</v>
          </cell>
        </row>
        <row r="119">
          <cell r="AI119" t="str">
            <v>Ул. Минская дом 58</v>
          </cell>
          <cell r="AJ119">
            <v>9533.6953125</v>
          </cell>
          <cell r="AK119">
            <v>2291.4</v>
          </cell>
          <cell r="AL119">
            <v>1396.1</v>
          </cell>
          <cell r="AM119">
            <v>3</v>
          </cell>
          <cell r="AN119">
            <v>3</v>
          </cell>
          <cell r="AO119" t="str">
            <v>АО УЖХ Демского района</v>
          </cell>
          <cell r="AP119">
            <v>2290.6</v>
          </cell>
          <cell r="AQ119">
            <v>0</v>
          </cell>
          <cell r="AR119">
            <v>258.60000000000002</v>
          </cell>
          <cell r="AS119">
            <v>7.2</v>
          </cell>
          <cell r="AT119">
            <v>45</v>
          </cell>
          <cell r="AU119">
            <v>5</v>
          </cell>
          <cell r="AV119">
            <v>103</v>
          </cell>
          <cell r="AW119">
            <v>0</v>
          </cell>
          <cell r="AX119">
            <v>0</v>
          </cell>
          <cell r="AY119">
            <v>0</v>
          </cell>
          <cell r="AZ119">
            <v>1109</v>
          </cell>
          <cell r="BA119">
            <v>1894.9</v>
          </cell>
          <cell r="BB119">
            <v>1894.8994140625</v>
          </cell>
          <cell r="BC119" t="str">
            <v>Управляющая компания</v>
          </cell>
          <cell r="BD119" t="str">
            <v>1. Жилой дом</v>
          </cell>
          <cell r="BE119">
            <v>20.6</v>
          </cell>
          <cell r="BF119" t="str">
            <v>2.Чёрный</v>
          </cell>
          <cell r="BG119" t="str">
            <v>1.Оцинкованный</v>
          </cell>
          <cell r="BH119" t="str">
            <v>3.Водяной</v>
          </cell>
          <cell r="BI119" t="str">
            <v>МУП УИС</v>
          </cell>
          <cell r="BJ119" t="str">
            <v>1. Чугун</v>
          </cell>
          <cell r="BK119">
            <v>20.599990844726563</v>
          </cell>
          <cell r="BL119" t="str">
            <v>8.Сборные ж/б</v>
          </cell>
          <cell r="BM119">
            <v>35796</v>
          </cell>
          <cell r="BN119">
            <v>35796</v>
          </cell>
          <cell r="BO119" t="str">
            <v>Оборудован</v>
          </cell>
          <cell r="BP119" t="str">
            <v>4.Мягк/рулонная</v>
          </cell>
          <cell r="BQ119" t="str">
            <v>2.Плоская</v>
          </cell>
          <cell r="BR119">
            <v>693</v>
          </cell>
          <cell r="BS119">
            <v>548.79999999999995</v>
          </cell>
          <cell r="BT119">
            <v>548.7998046875</v>
          </cell>
          <cell r="BU119">
            <v>548.7998046875</v>
          </cell>
          <cell r="BV119">
            <v>0</v>
          </cell>
          <cell r="BW119" t="str">
            <v>3.Частный жилищный фонд</v>
          </cell>
          <cell r="BX119">
            <v>45</v>
          </cell>
          <cell r="BY119">
            <v>0</v>
          </cell>
          <cell r="BZ119" t="str">
            <v>2-я</v>
          </cell>
          <cell r="CA119">
            <v>1</v>
          </cell>
          <cell r="CB119">
            <v>27.01</v>
          </cell>
          <cell r="CC119">
            <v>27.009994506835938</v>
          </cell>
          <cell r="CD119">
            <v>2290.6</v>
          </cell>
          <cell r="CE119">
            <v>2290.599609375</v>
          </cell>
          <cell r="CF119" t="str">
            <v>ООО "Гранд"</v>
          </cell>
          <cell r="CG119">
            <v>45</v>
          </cell>
          <cell r="CH119">
            <v>0</v>
          </cell>
          <cell r="CI119">
            <v>0</v>
          </cell>
          <cell r="CJ119">
            <v>0</v>
          </cell>
          <cell r="CK119">
            <v>3</v>
          </cell>
          <cell r="CL119">
            <v>1</v>
          </cell>
          <cell r="CM119">
            <v>45</v>
          </cell>
          <cell r="CN119">
            <v>265.8</v>
          </cell>
          <cell r="CO119">
            <v>265.8</v>
          </cell>
          <cell r="CP119">
            <v>814.6</v>
          </cell>
          <cell r="CQ119">
            <v>814.599609375</v>
          </cell>
          <cell r="CR119">
            <v>814.599609375</v>
          </cell>
          <cell r="CS119">
            <v>1</v>
          </cell>
          <cell r="CT119">
            <v>45</v>
          </cell>
          <cell r="CU119">
            <v>0</v>
          </cell>
          <cell r="CV119">
            <v>36</v>
          </cell>
          <cell r="CW119">
            <v>27</v>
          </cell>
          <cell r="CX119">
            <v>2</v>
          </cell>
          <cell r="CY119">
            <v>2</v>
          </cell>
          <cell r="CZ119">
            <v>8975</v>
          </cell>
          <cell r="DA119" t="str">
            <v>Демский</v>
          </cell>
          <cell r="DB119" t="str">
            <v>3.Сборные ж/б панели</v>
          </cell>
          <cell r="DC119">
            <v>0</v>
          </cell>
          <cell r="DD119">
            <v>1</v>
          </cell>
          <cell r="DE119">
            <v>13367</v>
          </cell>
          <cell r="DF119" t="str">
            <v>Пластинчатый</v>
          </cell>
          <cell r="DG119" t="str">
            <v>ГВС</v>
          </cell>
          <cell r="DH119" t="str">
            <v>АНО ЦЭС ЮГ</v>
          </cell>
          <cell r="DI119">
            <v>13367</v>
          </cell>
          <cell r="DJ119">
            <v>13367</v>
          </cell>
          <cell r="DK119">
            <v>13367</v>
          </cell>
          <cell r="DL119">
            <v>13367</v>
          </cell>
          <cell r="DM119">
            <v>1520327</v>
          </cell>
          <cell r="DN119">
            <v>3</v>
          </cell>
          <cell r="DO119" t="str">
            <v>ГВС</v>
          </cell>
          <cell r="DP119" t="str">
            <v>УЖХ</v>
          </cell>
          <cell r="DQ119">
            <v>36222</v>
          </cell>
          <cell r="DR119">
            <v>0</v>
          </cell>
          <cell r="DS119">
            <v>45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 t="str">
            <v>3.Зависимая схема</v>
          </cell>
          <cell r="EE119" t="str">
            <v>Нижний</v>
          </cell>
          <cell r="EF119">
            <v>0</v>
          </cell>
          <cell r="EG119">
            <v>0</v>
          </cell>
          <cell r="EH119">
            <v>0</v>
          </cell>
          <cell r="EI119">
            <v>1894.9</v>
          </cell>
          <cell r="EJ119">
            <v>0</v>
          </cell>
          <cell r="EK119">
            <v>866.5</v>
          </cell>
          <cell r="EL119">
            <v>0</v>
          </cell>
          <cell r="EM119">
            <v>196.7</v>
          </cell>
          <cell r="EN119">
            <v>2</v>
          </cell>
          <cell r="EO119">
            <v>2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8</v>
          </cell>
          <cell r="EX119">
            <v>1</v>
          </cell>
          <cell r="EY119">
            <v>1</v>
          </cell>
          <cell r="EZ119">
            <v>0</v>
          </cell>
          <cell r="FA119">
            <v>37.799999999999997</v>
          </cell>
          <cell r="FB119">
            <v>1</v>
          </cell>
          <cell r="FC119">
            <v>1</v>
          </cell>
          <cell r="FD119">
            <v>0</v>
          </cell>
          <cell r="FE119">
            <v>0</v>
          </cell>
          <cell r="FF119">
            <v>17.18</v>
          </cell>
          <cell r="FG119">
            <v>1</v>
          </cell>
          <cell r="FH119">
            <v>1</v>
          </cell>
          <cell r="FI119">
            <v>43068</v>
          </cell>
          <cell r="FJ119">
            <v>15477</v>
          </cell>
          <cell r="FK119">
            <v>15477</v>
          </cell>
          <cell r="FL119">
            <v>3123.7</v>
          </cell>
          <cell r="FM119">
            <v>78.92</v>
          </cell>
          <cell r="FN119">
            <v>1215.45</v>
          </cell>
          <cell r="FO119">
            <v>3646.3500000000004</v>
          </cell>
        </row>
        <row r="120">
          <cell r="AI120" t="str">
            <v>Ул. Левитана дом 3</v>
          </cell>
          <cell r="AJ120">
            <v>3646.349609375</v>
          </cell>
          <cell r="AK120">
            <v>1852.6</v>
          </cell>
          <cell r="AL120">
            <v>1248.5999999999999</v>
          </cell>
          <cell r="AM120">
            <v>3</v>
          </cell>
          <cell r="AN120">
            <v>3</v>
          </cell>
          <cell r="AO120" t="str">
            <v>АО УЖХ Демского района</v>
          </cell>
          <cell r="AP120">
            <v>1718.82</v>
          </cell>
          <cell r="AQ120">
            <v>133.78</v>
          </cell>
          <cell r="AR120">
            <v>155.1</v>
          </cell>
          <cell r="AS120">
            <v>16.2</v>
          </cell>
          <cell r="AT120">
            <v>24</v>
          </cell>
          <cell r="AU120">
            <v>3</v>
          </cell>
          <cell r="AV120">
            <v>58</v>
          </cell>
          <cell r="AW120">
            <v>0</v>
          </cell>
          <cell r="AX120">
            <v>0</v>
          </cell>
          <cell r="AY120">
            <v>0</v>
          </cell>
          <cell r="AZ120">
            <v>1044.4000000000001</v>
          </cell>
          <cell r="BA120">
            <v>1234.5</v>
          </cell>
          <cell r="BB120">
            <v>1234.5</v>
          </cell>
          <cell r="BC120" t="str">
            <v>Непосредственное</v>
          </cell>
          <cell r="BD120" t="str">
            <v>1. Жилой дом</v>
          </cell>
          <cell r="BE120">
            <v>53.4</v>
          </cell>
          <cell r="BF120" t="str">
            <v>2.Чёрный</v>
          </cell>
          <cell r="BG120">
            <v>53.399993896484375</v>
          </cell>
          <cell r="BH120" t="str">
            <v>3.Водяной</v>
          </cell>
          <cell r="BI120" t="str">
            <v>МУП УИС</v>
          </cell>
          <cell r="BJ120" t="str">
            <v>1. Чугун</v>
          </cell>
          <cell r="BK120">
            <v>53.399993896484375</v>
          </cell>
          <cell r="BL120" t="str">
            <v>2.Кирпич</v>
          </cell>
          <cell r="BM120">
            <v>20821</v>
          </cell>
          <cell r="BN120">
            <v>24</v>
          </cell>
          <cell r="BO120" t="str">
            <v>Оборудован</v>
          </cell>
          <cell r="BP120" t="str">
            <v>8.Профнастил</v>
          </cell>
          <cell r="BQ120" t="str">
            <v>1.Скатная</v>
          </cell>
          <cell r="BR120">
            <v>1106</v>
          </cell>
          <cell r="BS120">
            <v>907.3</v>
          </cell>
          <cell r="BT120">
            <v>907.2998046875</v>
          </cell>
          <cell r="BU120">
            <v>849</v>
          </cell>
          <cell r="BV120">
            <v>849</v>
          </cell>
          <cell r="BW120" t="str">
            <v>3.Частный жилищный фонд</v>
          </cell>
          <cell r="BX120">
            <v>24</v>
          </cell>
          <cell r="BY120">
            <v>0</v>
          </cell>
          <cell r="BZ120" t="str">
            <v>2-я</v>
          </cell>
          <cell r="CA120">
            <v>1</v>
          </cell>
          <cell r="CB120">
            <v>27.01</v>
          </cell>
          <cell r="CC120">
            <v>1</v>
          </cell>
          <cell r="CD120">
            <v>1</v>
          </cell>
          <cell r="CE120">
            <v>1</v>
          </cell>
          <cell r="CF120" t="str">
            <v>ООО "Гранд"</v>
          </cell>
          <cell r="CG120">
            <v>22</v>
          </cell>
          <cell r="CH120">
            <v>2</v>
          </cell>
          <cell r="CI120">
            <v>2</v>
          </cell>
          <cell r="CJ120">
            <v>2</v>
          </cell>
          <cell r="CK120">
            <v>0</v>
          </cell>
          <cell r="CL120">
            <v>1</v>
          </cell>
          <cell r="CM120">
            <v>34</v>
          </cell>
          <cell r="CN120">
            <v>171.3</v>
          </cell>
          <cell r="CO120">
            <v>0</v>
          </cell>
          <cell r="CP120">
            <v>1927.6</v>
          </cell>
          <cell r="CQ120">
            <v>1927.599609375</v>
          </cell>
          <cell r="CR120">
            <v>1927.599609375</v>
          </cell>
          <cell r="CS120">
            <v>0</v>
          </cell>
          <cell r="CT120">
            <v>24</v>
          </cell>
          <cell r="CU120">
            <v>0</v>
          </cell>
          <cell r="CV120">
            <v>0</v>
          </cell>
          <cell r="CW120">
            <v>0</v>
          </cell>
          <cell r="CX120">
            <v>1</v>
          </cell>
          <cell r="CY120">
            <v>1</v>
          </cell>
          <cell r="CZ120">
            <v>11357</v>
          </cell>
          <cell r="DA120" t="str">
            <v>Демский</v>
          </cell>
          <cell r="DB120" t="str">
            <v>3.Сборные ж/б панели</v>
          </cell>
          <cell r="DC120">
            <v>11357</v>
          </cell>
          <cell r="DD120">
            <v>11357</v>
          </cell>
          <cell r="DE120">
            <v>11357</v>
          </cell>
          <cell r="DF120">
            <v>11357</v>
          </cell>
          <cell r="DG120">
            <v>11357</v>
          </cell>
          <cell r="DH120">
            <v>11357</v>
          </cell>
          <cell r="DI120">
            <v>11357</v>
          </cell>
          <cell r="DJ120">
            <v>11357</v>
          </cell>
          <cell r="DK120">
            <v>0</v>
          </cell>
          <cell r="DL120">
            <v>0</v>
          </cell>
          <cell r="DM120">
            <v>4477648</v>
          </cell>
          <cell r="DN120">
            <v>0</v>
          </cell>
          <cell r="DO120">
            <v>0</v>
          </cell>
          <cell r="DP120" t="str">
            <v>ЖРЭУ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 t="str">
            <v>3.Зависимая схема</v>
          </cell>
          <cell r="EE120" t="str">
            <v>Верхний</v>
          </cell>
          <cell r="EF120">
            <v>0</v>
          </cell>
          <cell r="EG120">
            <v>0</v>
          </cell>
          <cell r="EH120">
            <v>28</v>
          </cell>
          <cell r="EI120">
            <v>1206.5</v>
          </cell>
          <cell r="EJ120">
            <v>564.4</v>
          </cell>
          <cell r="EK120">
            <v>449.6</v>
          </cell>
          <cell r="EL120">
            <v>449.599853515625</v>
          </cell>
          <cell r="EM120">
            <v>30.4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0</v>
          </cell>
          <cell r="EW120">
            <v>0</v>
          </cell>
          <cell r="EX120">
            <v>0</v>
          </cell>
          <cell r="EY120">
            <v>0</v>
          </cell>
          <cell r="EZ120">
            <v>0</v>
          </cell>
          <cell r="FA120">
            <v>0</v>
          </cell>
          <cell r="FB120">
            <v>0</v>
          </cell>
          <cell r="FC120">
            <v>0</v>
          </cell>
          <cell r="FD120">
            <v>0</v>
          </cell>
          <cell r="FE120">
            <v>0</v>
          </cell>
          <cell r="FF120">
            <v>13.31</v>
          </cell>
          <cell r="FG120">
            <v>13.30999755859375</v>
          </cell>
          <cell r="FH120" t="str">
            <v>расчет</v>
          </cell>
          <cell r="FI120">
            <v>43647</v>
          </cell>
          <cell r="FJ120">
            <v>15477</v>
          </cell>
          <cell r="FK120">
            <v>15477</v>
          </cell>
          <cell r="FL120">
            <v>2931.2</v>
          </cell>
          <cell r="FM120">
            <v>78.92</v>
          </cell>
          <cell r="FN120">
            <v>2542.3199999999997</v>
          </cell>
          <cell r="FO120">
            <v>7626.9599999999991</v>
          </cell>
        </row>
        <row r="121">
          <cell r="AI121" t="str">
            <v>Ул. Левитана дом 5</v>
          </cell>
          <cell r="AJ121">
            <v>7626.95703125</v>
          </cell>
          <cell r="AK121">
            <v>1850.6</v>
          </cell>
          <cell r="AL121">
            <v>1242</v>
          </cell>
          <cell r="AM121">
            <v>3</v>
          </cell>
          <cell r="AN121">
            <v>3</v>
          </cell>
          <cell r="AO121" t="str">
            <v>АО УЖХ Демского района</v>
          </cell>
          <cell r="AP121">
            <v>1818.26</v>
          </cell>
          <cell r="AQ121">
            <v>32.14</v>
          </cell>
          <cell r="AR121">
            <v>151.5</v>
          </cell>
          <cell r="AS121">
            <v>9.3000000000000007</v>
          </cell>
          <cell r="AT121">
            <v>24</v>
          </cell>
          <cell r="AU121">
            <v>3</v>
          </cell>
          <cell r="AV121">
            <v>70</v>
          </cell>
          <cell r="AW121">
            <v>0</v>
          </cell>
          <cell r="AX121">
            <v>0</v>
          </cell>
          <cell r="AY121">
            <v>0</v>
          </cell>
          <cell r="AZ121">
            <v>964.2</v>
          </cell>
          <cell r="BA121">
            <v>1780.8</v>
          </cell>
          <cell r="BB121">
            <v>1780.7998046875</v>
          </cell>
          <cell r="BC121" t="str">
            <v>Непосредственное</v>
          </cell>
          <cell r="BD121" t="str">
            <v>1. Жилой дом</v>
          </cell>
          <cell r="BE121">
            <v>53.4</v>
          </cell>
          <cell r="BF121" t="str">
            <v>2.Чёрный</v>
          </cell>
          <cell r="BG121">
            <v>53.399993896484375</v>
          </cell>
          <cell r="BH121" t="str">
            <v>3.Водяной</v>
          </cell>
          <cell r="BI121" t="str">
            <v>МУП УИС</v>
          </cell>
          <cell r="BJ121" t="str">
            <v>1. Чугун</v>
          </cell>
          <cell r="BK121">
            <v>53.399993896484375</v>
          </cell>
          <cell r="BL121" t="str">
            <v>2.Кирпич</v>
          </cell>
          <cell r="BM121">
            <v>20821</v>
          </cell>
          <cell r="BN121">
            <v>24</v>
          </cell>
          <cell r="BO121" t="str">
            <v>Оборудован</v>
          </cell>
          <cell r="BP121" t="str">
            <v>1.Абсоцемент(шифер)</v>
          </cell>
          <cell r="BQ121" t="str">
            <v>1.Скатная</v>
          </cell>
          <cell r="BR121">
            <v>1106</v>
          </cell>
          <cell r="BS121">
            <v>884.3</v>
          </cell>
          <cell r="BT121">
            <v>884.2998046875</v>
          </cell>
          <cell r="BU121">
            <v>813</v>
          </cell>
          <cell r="BV121">
            <v>813</v>
          </cell>
          <cell r="BW121" t="str">
            <v>3.Частный жилищный фонд</v>
          </cell>
          <cell r="BX121">
            <v>24</v>
          </cell>
          <cell r="BY121">
            <v>0</v>
          </cell>
          <cell r="BZ121" t="str">
            <v>2-я</v>
          </cell>
          <cell r="CA121">
            <v>1</v>
          </cell>
          <cell r="CB121">
            <v>27.01</v>
          </cell>
          <cell r="CC121">
            <v>1</v>
          </cell>
          <cell r="CD121">
            <v>1</v>
          </cell>
          <cell r="CE121">
            <v>1</v>
          </cell>
          <cell r="CF121" t="str">
            <v>ООО "Гранд"</v>
          </cell>
          <cell r="CG121">
            <v>23</v>
          </cell>
          <cell r="CH121">
            <v>1</v>
          </cell>
          <cell r="CI121">
            <v>1</v>
          </cell>
          <cell r="CJ121">
            <v>1</v>
          </cell>
          <cell r="CK121">
            <v>0</v>
          </cell>
          <cell r="CL121">
            <v>1</v>
          </cell>
          <cell r="CM121">
            <v>34</v>
          </cell>
          <cell r="CN121">
            <v>160.80000000000001</v>
          </cell>
          <cell r="CO121">
            <v>0</v>
          </cell>
          <cell r="CP121">
            <v>1858.1</v>
          </cell>
          <cell r="CQ121">
            <v>1858.099609375</v>
          </cell>
          <cell r="CR121">
            <v>1858.099609375</v>
          </cell>
          <cell r="CS121">
            <v>1</v>
          </cell>
          <cell r="CT121">
            <v>24</v>
          </cell>
          <cell r="CU121">
            <v>0</v>
          </cell>
          <cell r="CV121">
            <v>0</v>
          </cell>
          <cell r="CW121">
            <v>0</v>
          </cell>
          <cell r="CX121">
            <v>1</v>
          </cell>
          <cell r="CY121">
            <v>1</v>
          </cell>
          <cell r="CZ121">
            <v>11275</v>
          </cell>
          <cell r="DA121" t="str">
            <v>Демский</v>
          </cell>
          <cell r="DB121" t="str">
            <v>3.Сборные ж/б панели</v>
          </cell>
          <cell r="DC121">
            <v>11275</v>
          </cell>
          <cell r="DD121">
            <v>11275</v>
          </cell>
          <cell r="DE121">
            <v>11275</v>
          </cell>
          <cell r="DF121">
            <v>11275</v>
          </cell>
          <cell r="DG121">
            <v>11275</v>
          </cell>
          <cell r="DH121">
            <v>11275</v>
          </cell>
          <cell r="DI121">
            <v>11275</v>
          </cell>
          <cell r="DJ121">
            <v>11275</v>
          </cell>
          <cell r="DK121">
            <v>0</v>
          </cell>
          <cell r="DL121">
            <v>0</v>
          </cell>
          <cell r="DM121">
            <v>4445419</v>
          </cell>
          <cell r="DN121">
            <v>3</v>
          </cell>
          <cell r="DO121">
            <v>3</v>
          </cell>
          <cell r="DP121" t="str">
            <v>УЖХ</v>
          </cell>
          <cell r="DQ121">
            <v>35597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 t="str">
            <v>3.Зависимая схема</v>
          </cell>
          <cell r="EE121" t="str">
            <v>Верхний</v>
          </cell>
          <cell r="EF121">
            <v>0</v>
          </cell>
          <cell r="EG121">
            <v>0</v>
          </cell>
          <cell r="EH121">
            <v>0</v>
          </cell>
          <cell r="EI121">
            <v>1780.8</v>
          </cell>
          <cell r="EJ121">
            <v>645.1</v>
          </cell>
          <cell r="EK121">
            <v>272</v>
          </cell>
          <cell r="EL121">
            <v>272</v>
          </cell>
          <cell r="EM121">
            <v>13.5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0</v>
          </cell>
          <cell r="ET121">
            <v>0</v>
          </cell>
          <cell r="EU121">
            <v>0</v>
          </cell>
          <cell r="EV121">
            <v>0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33.6</v>
          </cell>
          <cell r="FB121">
            <v>1</v>
          </cell>
          <cell r="FC121">
            <v>1</v>
          </cell>
          <cell r="FD121">
            <v>0</v>
          </cell>
          <cell r="FE121">
            <v>0</v>
          </cell>
          <cell r="FF121">
            <v>15.07</v>
          </cell>
          <cell r="FG121">
            <v>2</v>
          </cell>
          <cell r="FH121">
            <v>2</v>
          </cell>
          <cell r="FI121">
            <v>43647</v>
          </cell>
          <cell r="FJ121">
            <v>15477</v>
          </cell>
          <cell r="FK121">
            <v>15477</v>
          </cell>
          <cell r="FL121">
            <v>2895.7</v>
          </cell>
          <cell r="FM121">
            <v>78.92</v>
          </cell>
          <cell r="FN121">
            <v>2542.3199999999997</v>
          </cell>
          <cell r="FO121">
            <v>7626.9599999999991</v>
          </cell>
        </row>
        <row r="122">
          <cell r="AI122" t="str">
            <v>Ул. Левитана дом 7</v>
          </cell>
          <cell r="AJ122">
            <v>7626.95703125</v>
          </cell>
          <cell r="AK122">
            <v>2530.6</v>
          </cell>
          <cell r="AL122">
            <v>1696.6</v>
          </cell>
          <cell r="AM122">
            <v>5</v>
          </cell>
          <cell r="AN122">
            <v>5</v>
          </cell>
          <cell r="AO122" t="str">
            <v>АО УЖХ Демского района</v>
          </cell>
          <cell r="AP122">
            <v>2453.8000000000002</v>
          </cell>
          <cell r="AQ122">
            <v>75.900000000000006</v>
          </cell>
          <cell r="AR122">
            <v>225.7</v>
          </cell>
          <cell r="AS122">
            <v>13.7</v>
          </cell>
          <cell r="AT122">
            <v>33</v>
          </cell>
          <cell r="AU122">
            <v>3</v>
          </cell>
          <cell r="AV122">
            <v>103</v>
          </cell>
          <cell r="AW122">
            <v>0</v>
          </cell>
          <cell r="AX122">
            <v>0</v>
          </cell>
          <cell r="AY122">
            <v>243.6</v>
          </cell>
          <cell r="AZ122">
            <v>1221.0999999999999</v>
          </cell>
          <cell r="BA122">
            <v>1553.1</v>
          </cell>
          <cell r="BB122">
            <v>1553.099609375</v>
          </cell>
          <cell r="BC122" t="str">
            <v>Управляющая компания</v>
          </cell>
          <cell r="BD122" t="str">
            <v>1. Жилой дом</v>
          </cell>
          <cell r="BE122">
            <v>65.75</v>
          </cell>
          <cell r="BF122" t="str">
            <v>2.Чёрный</v>
          </cell>
          <cell r="BG122">
            <v>65.75</v>
          </cell>
          <cell r="BH122" t="str">
            <v>3.Водяной</v>
          </cell>
          <cell r="BI122" t="str">
            <v>МУП УИС</v>
          </cell>
          <cell r="BJ122" t="str">
            <v>1. Чугун</v>
          </cell>
          <cell r="BK122">
            <v>65.75</v>
          </cell>
          <cell r="BL122" t="str">
            <v>2.Кирпич</v>
          </cell>
          <cell r="BM122">
            <v>21186</v>
          </cell>
          <cell r="BN122">
            <v>33</v>
          </cell>
          <cell r="BO122" t="str">
            <v>Оборудован</v>
          </cell>
          <cell r="BP122" t="str">
            <v>1.Абсоцемент(шифер)</v>
          </cell>
          <cell r="BQ122" t="str">
            <v>1.Скатная</v>
          </cell>
          <cell r="BR122">
            <v>1575</v>
          </cell>
          <cell r="BS122">
            <v>682</v>
          </cell>
          <cell r="BT122">
            <v>682</v>
          </cell>
          <cell r="BU122">
            <v>1092</v>
          </cell>
          <cell r="BV122">
            <v>1092</v>
          </cell>
          <cell r="BW122" t="str">
            <v>3.Частный жилищный фонд</v>
          </cell>
          <cell r="BX122">
            <v>33</v>
          </cell>
          <cell r="BY122">
            <v>0</v>
          </cell>
          <cell r="BZ122" t="str">
            <v>3-я</v>
          </cell>
          <cell r="CA122">
            <v>1</v>
          </cell>
          <cell r="CB122">
            <v>27.01</v>
          </cell>
          <cell r="CC122">
            <v>1</v>
          </cell>
          <cell r="CD122">
            <v>1</v>
          </cell>
          <cell r="CE122">
            <v>2529.6999999999998</v>
          </cell>
          <cell r="CF122" t="str">
            <v>ООО "Гранд"</v>
          </cell>
          <cell r="CG122">
            <v>31</v>
          </cell>
          <cell r="CH122">
            <v>2</v>
          </cell>
          <cell r="CI122">
            <v>2</v>
          </cell>
          <cell r="CJ122">
            <v>2</v>
          </cell>
          <cell r="CK122">
            <v>0</v>
          </cell>
          <cell r="CL122">
            <v>1</v>
          </cell>
          <cell r="CM122">
            <v>45</v>
          </cell>
          <cell r="CN122">
            <v>239.4</v>
          </cell>
          <cell r="CO122">
            <v>0</v>
          </cell>
          <cell r="CP122">
            <v>2013.4</v>
          </cell>
          <cell r="CQ122">
            <v>2013.3994140625</v>
          </cell>
          <cell r="CR122">
            <v>2013.3994140625</v>
          </cell>
          <cell r="CS122">
            <v>0</v>
          </cell>
          <cell r="CT122">
            <v>33</v>
          </cell>
          <cell r="CU122">
            <v>0</v>
          </cell>
          <cell r="CV122">
            <v>24</v>
          </cell>
          <cell r="CW122">
            <v>0</v>
          </cell>
          <cell r="CX122">
            <v>1</v>
          </cell>
          <cell r="CY122">
            <v>1</v>
          </cell>
          <cell r="CZ122">
            <v>15210</v>
          </cell>
          <cell r="DA122" t="str">
            <v>Демский</v>
          </cell>
          <cell r="DB122" t="str">
            <v>2.Деревянные</v>
          </cell>
          <cell r="DC122">
            <v>15210</v>
          </cell>
          <cell r="DD122">
            <v>15210</v>
          </cell>
          <cell r="DE122">
            <v>15210</v>
          </cell>
          <cell r="DF122">
            <v>15210</v>
          </cell>
          <cell r="DG122">
            <v>15210</v>
          </cell>
          <cell r="DH122">
            <v>15210</v>
          </cell>
          <cell r="DI122">
            <v>15210</v>
          </cell>
          <cell r="DJ122">
            <v>15210</v>
          </cell>
          <cell r="DK122">
            <v>0</v>
          </cell>
          <cell r="DL122">
            <v>0</v>
          </cell>
          <cell r="DM122">
            <v>5323311</v>
          </cell>
          <cell r="DN122">
            <v>2</v>
          </cell>
          <cell r="DO122">
            <v>2</v>
          </cell>
          <cell r="DP122" t="str">
            <v>УЖХ</v>
          </cell>
          <cell r="DQ122">
            <v>40428</v>
          </cell>
          <cell r="DR122">
            <v>0</v>
          </cell>
          <cell r="DS122">
            <v>33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 t="str">
            <v>3.Зависимая схема</v>
          </cell>
          <cell r="EE122" t="str">
            <v>Верхний</v>
          </cell>
          <cell r="EF122">
            <v>0</v>
          </cell>
          <cell r="EG122">
            <v>0</v>
          </cell>
          <cell r="EH122">
            <v>8</v>
          </cell>
          <cell r="EI122">
            <v>1545.1</v>
          </cell>
          <cell r="EJ122">
            <v>358.4</v>
          </cell>
          <cell r="EK122">
            <v>614.6</v>
          </cell>
          <cell r="EL122">
            <v>614.599609375</v>
          </cell>
          <cell r="EM122">
            <v>117.1</v>
          </cell>
          <cell r="EN122">
            <v>1</v>
          </cell>
          <cell r="EO122">
            <v>1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T122">
            <v>0</v>
          </cell>
          <cell r="EU122">
            <v>0</v>
          </cell>
          <cell r="EV122">
            <v>0</v>
          </cell>
          <cell r="EW122">
            <v>3.6</v>
          </cell>
          <cell r="EX122">
            <v>1</v>
          </cell>
          <cell r="EY122">
            <v>1</v>
          </cell>
          <cell r="EZ122">
            <v>0</v>
          </cell>
          <cell r="FA122">
            <v>96</v>
          </cell>
          <cell r="FB122">
            <v>1</v>
          </cell>
          <cell r="FC122">
            <v>1</v>
          </cell>
          <cell r="FD122">
            <v>0</v>
          </cell>
          <cell r="FE122">
            <v>0</v>
          </cell>
          <cell r="FF122">
            <v>12.5</v>
          </cell>
          <cell r="FG122">
            <v>2</v>
          </cell>
          <cell r="FH122">
            <v>2</v>
          </cell>
          <cell r="FI122">
            <v>43875</v>
          </cell>
          <cell r="FJ122">
            <v>15477</v>
          </cell>
          <cell r="FK122">
            <v>15477</v>
          </cell>
          <cell r="FL122">
            <v>3695.6</v>
          </cell>
          <cell r="FM122">
            <v>78.92</v>
          </cell>
          <cell r="FN122">
            <v>3495.69</v>
          </cell>
          <cell r="FO122">
            <v>10487.07</v>
          </cell>
        </row>
        <row r="123">
          <cell r="AI123" t="str">
            <v>Ул. Левитана дом 7/а</v>
          </cell>
          <cell r="AJ123">
            <v>10487.0625</v>
          </cell>
          <cell r="AK123">
            <v>405.7</v>
          </cell>
          <cell r="AL123">
            <v>246.4</v>
          </cell>
          <cell r="AM123">
            <v>1</v>
          </cell>
          <cell r="AN123">
            <v>1</v>
          </cell>
          <cell r="AO123" t="str">
            <v>АО УЖХ Демского района</v>
          </cell>
          <cell r="AP123">
            <v>364.59</v>
          </cell>
          <cell r="AQ123">
            <v>41.11</v>
          </cell>
          <cell r="AR123">
            <v>32.4</v>
          </cell>
          <cell r="AS123">
            <v>8.1999999999999993</v>
          </cell>
          <cell r="AT123">
            <v>8</v>
          </cell>
          <cell r="AU123">
            <v>2</v>
          </cell>
          <cell r="AV123">
            <v>18</v>
          </cell>
          <cell r="AW123">
            <v>0</v>
          </cell>
          <cell r="AX123">
            <v>0</v>
          </cell>
          <cell r="AY123">
            <v>0</v>
          </cell>
          <cell r="AZ123">
            <v>85.9</v>
          </cell>
          <cell r="BA123">
            <v>1431</v>
          </cell>
          <cell r="BB123">
            <v>1431</v>
          </cell>
          <cell r="BC123" t="str">
            <v>Непосредственное</v>
          </cell>
          <cell r="BD123" t="str">
            <v>1. Жилой дом</v>
          </cell>
          <cell r="BE123">
            <v>53.4</v>
          </cell>
          <cell r="BF123" t="str">
            <v>2.Чёрный</v>
          </cell>
          <cell r="BG123">
            <v>53.399993896484375</v>
          </cell>
          <cell r="BH123" t="str">
            <v>3.Водяной</v>
          </cell>
          <cell r="BI123" t="str">
            <v>МУП УИС</v>
          </cell>
          <cell r="BJ123" t="str">
            <v>1. Чугун</v>
          </cell>
          <cell r="BK123">
            <v>53.399993896484375</v>
          </cell>
          <cell r="BL123" t="str">
            <v>3.Бетон/блок</v>
          </cell>
          <cell r="BM123">
            <v>20821</v>
          </cell>
          <cell r="BN123">
            <v>8</v>
          </cell>
          <cell r="BO123" t="str">
            <v>Оборудован</v>
          </cell>
          <cell r="BP123" t="str">
            <v>1.Абсоцемент(шифер)</v>
          </cell>
          <cell r="BQ123" t="str">
            <v>1.Скатная</v>
          </cell>
          <cell r="BR123">
            <v>376</v>
          </cell>
          <cell r="BS123">
            <v>376</v>
          </cell>
          <cell r="BT123">
            <v>376</v>
          </cell>
          <cell r="BU123">
            <v>376</v>
          </cell>
          <cell r="BV123">
            <v>0</v>
          </cell>
          <cell r="BW123" t="str">
            <v>3.Частный жилищный фонд</v>
          </cell>
          <cell r="BX123">
            <v>8</v>
          </cell>
          <cell r="BY123">
            <v>0</v>
          </cell>
          <cell r="BZ123" t="str">
            <v>2-я</v>
          </cell>
          <cell r="CA123">
            <v>1</v>
          </cell>
          <cell r="CB123">
            <v>27.01</v>
          </cell>
          <cell r="CC123">
            <v>1</v>
          </cell>
          <cell r="CD123">
            <v>1</v>
          </cell>
          <cell r="CE123">
            <v>1</v>
          </cell>
          <cell r="CF123" t="str">
            <v>ООО "Гранд"</v>
          </cell>
          <cell r="CG123">
            <v>7</v>
          </cell>
          <cell r="CH123">
            <v>1</v>
          </cell>
          <cell r="CI123">
            <v>1</v>
          </cell>
          <cell r="CJ123">
            <v>1</v>
          </cell>
          <cell r="CK123">
            <v>0</v>
          </cell>
          <cell r="CL123">
            <v>0</v>
          </cell>
          <cell r="CM123">
            <v>9</v>
          </cell>
          <cell r="CN123">
            <v>40.6</v>
          </cell>
          <cell r="CO123">
            <v>0</v>
          </cell>
          <cell r="CP123">
            <v>40.6</v>
          </cell>
          <cell r="CQ123">
            <v>40.5999755859375</v>
          </cell>
          <cell r="CR123">
            <v>40.5999755859375</v>
          </cell>
          <cell r="CS123">
            <v>0</v>
          </cell>
          <cell r="CT123">
            <v>8</v>
          </cell>
          <cell r="CU123">
            <v>0</v>
          </cell>
          <cell r="CV123">
            <v>0</v>
          </cell>
          <cell r="CW123">
            <v>0</v>
          </cell>
          <cell r="CX123">
            <v>1</v>
          </cell>
          <cell r="CY123">
            <v>1</v>
          </cell>
          <cell r="CZ123">
            <v>1946</v>
          </cell>
          <cell r="DA123" t="str">
            <v>Демский</v>
          </cell>
          <cell r="DB123" t="str">
            <v>2.Деревянные</v>
          </cell>
          <cell r="DC123">
            <v>1946</v>
          </cell>
          <cell r="DD123">
            <v>1946</v>
          </cell>
          <cell r="DE123">
            <v>1946</v>
          </cell>
          <cell r="DF123">
            <v>1946</v>
          </cell>
          <cell r="DG123">
            <v>1946</v>
          </cell>
          <cell r="DH123">
            <v>1946</v>
          </cell>
          <cell r="DI123">
            <v>1946</v>
          </cell>
          <cell r="DJ123">
            <v>1946</v>
          </cell>
          <cell r="DK123">
            <v>0</v>
          </cell>
          <cell r="DL123">
            <v>0</v>
          </cell>
          <cell r="DM123">
            <v>717866</v>
          </cell>
          <cell r="DN123">
            <v>0</v>
          </cell>
          <cell r="DO123">
            <v>0</v>
          </cell>
          <cell r="DP123" t="str">
            <v>УЖХ</v>
          </cell>
          <cell r="DQ123">
            <v>35660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 t="str">
            <v>3.Зависимая схема</v>
          </cell>
          <cell r="EE123" t="str">
            <v>Верхний</v>
          </cell>
          <cell r="EF123">
            <v>0</v>
          </cell>
          <cell r="EG123">
            <v>0</v>
          </cell>
          <cell r="EH123">
            <v>0</v>
          </cell>
          <cell r="EI123">
            <v>1431</v>
          </cell>
          <cell r="EJ123">
            <v>21.8</v>
          </cell>
          <cell r="EK123">
            <v>21.79998779296875</v>
          </cell>
          <cell r="EL123">
            <v>21.79998779296875</v>
          </cell>
          <cell r="EM123">
            <v>64.099999999999994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22.48</v>
          </cell>
          <cell r="FG123">
            <v>2</v>
          </cell>
          <cell r="FH123">
            <v>2</v>
          </cell>
          <cell r="FI123">
            <v>43647</v>
          </cell>
          <cell r="FJ123">
            <v>15477</v>
          </cell>
          <cell r="FK123">
            <v>15477</v>
          </cell>
          <cell r="FL123">
            <v>446.3</v>
          </cell>
          <cell r="FM123">
            <v>78.92</v>
          </cell>
          <cell r="FN123">
            <v>847.44</v>
          </cell>
          <cell r="FO123">
            <v>2542.3200000000002</v>
          </cell>
        </row>
        <row r="124">
          <cell r="AI124" t="str">
            <v>Ул. Левитана дом 14/2</v>
          </cell>
          <cell r="AJ124">
            <v>2542.318359375</v>
          </cell>
          <cell r="AK124">
            <v>3232.2</v>
          </cell>
          <cell r="AL124">
            <v>2170.1</v>
          </cell>
          <cell r="AM124">
            <v>4</v>
          </cell>
          <cell r="AN124">
            <v>4</v>
          </cell>
          <cell r="AO124" t="str">
            <v>АО УЖХ Демского района</v>
          </cell>
          <cell r="AP124">
            <v>3012.2</v>
          </cell>
          <cell r="AQ124">
            <v>220.1</v>
          </cell>
          <cell r="AR124">
            <v>370.5</v>
          </cell>
          <cell r="AS124">
            <v>10.8</v>
          </cell>
          <cell r="AT124">
            <v>70</v>
          </cell>
          <cell r="AU124">
            <v>5</v>
          </cell>
          <cell r="AV124">
            <v>165</v>
          </cell>
          <cell r="AW124">
            <v>0</v>
          </cell>
          <cell r="AX124">
            <v>0</v>
          </cell>
          <cell r="AY124">
            <v>0</v>
          </cell>
          <cell r="AZ124">
            <v>884.7</v>
          </cell>
          <cell r="BA124">
            <v>1839.9</v>
          </cell>
          <cell r="BB124">
            <v>1839.8994140625</v>
          </cell>
          <cell r="BC124" t="str">
            <v>Управляющая компания</v>
          </cell>
          <cell r="BD124" t="str">
            <v>1. Жилой дом</v>
          </cell>
          <cell r="BE124">
            <v>41.4</v>
          </cell>
          <cell r="BF124" t="str">
            <v>2.Чёрный</v>
          </cell>
          <cell r="BG124" t="str">
            <v>1.Оцинкованный</v>
          </cell>
          <cell r="BH124" t="str">
            <v>3.Водяной</v>
          </cell>
          <cell r="BI124" t="str">
            <v>МУП УИС</v>
          </cell>
          <cell r="BJ124" t="str">
            <v>1. Чугун</v>
          </cell>
          <cell r="BK124">
            <v>41.399993896484375</v>
          </cell>
          <cell r="BL124" t="str">
            <v>2.Кирпич</v>
          </cell>
          <cell r="BM124">
            <v>26299</v>
          </cell>
          <cell r="BN124">
            <v>26299</v>
          </cell>
          <cell r="BO124" t="str">
            <v>Оборудован</v>
          </cell>
          <cell r="BP124" t="str">
            <v>4.Мягк/рулонная</v>
          </cell>
          <cell r="BQ124" t="str">
            <v>2.Плоская</v>
          </cell>
          <cell r="BR124">
            <v>1052</v>
          </cell>
          <cell r="BS124">
            <v>906.1</v>
          </cell>
          <cell r="BT124">
            <v>906.099609375</v>
          </cell>
          <cell r="BU124">
            <v>906.099609375</v>
          </cell>
          <cell r="BV124">
            <v>0</v>
          </cell>
          <cell r="BW124" t="str">
            <v>3.Частный жилищный фонд</v>
          </cell>
          <cell r="BX124">
            <v>70</v>
          </cell>
          <cell r="BY124">
            <v>0</v>
          </cell>
          <cell r="BZ124" t="str">
            <v>2-я</v>
          </cell>
          <cell r="CA124">
            <v>1</v>
          </cell>
          <cell r="CB124">
            <v>27.01</v>
          </cell>
          <cell r="CC124">
            <v>27.009994506835938</v>
          </cell>
          <cell r="CD124">
            <v>3232.3</v>
          </cell>
          <cell r="CE124">
            <v>3232.298828125</v>
          </cell>
          <cell r="CF124" t="str">
            <v>ООО "Гранд"</v>
          </cell>
          <cell r="CG124">
            <v>65</v>
          </cell>
          <cell r="CH124">
            <v>5</v>
          </cell>
          <cell r="CI124">
            <v>5</v>
          </cell>
          <cell r="CJ124">
            <v>5</v>
          </cell>
          <cell r="CK124">
            <v>1</v>
          </cell>
          <cell r="CL124">
            <v>1</v>
          </cell>
          <cell r="CM124">
            <v>71</v>
          </cell>
          <cell r="CN124">
            <v>381.3</v>
          </cell>
          <cell r="CO124">
            <v>381.3</v>
          </cell>
          <cell r="CP124">
            <v>1287.4000000000001</v>
          </cell>
          <cell r="CQ124">
            <v>1287.3994140625</v>
          </cell>
          <cell r="CR124">
            <v>1287.3994140625</v>
          </cell>
          <cell r="CS124">
            <v>1</v>
          </cell>
          <cell r="CT124">
            <v>70</v>
          </cell>
          <cell r="CU124">
            <v>0</v>
          </cell>
          <cell r="CV124">
            <v>64</v>
          </cell>
          <cell r="CW124">
            <v>64</v>
          </cell>
          <cell r="CX124">
            <v>1</v>
          </cell>
          <cell r="CY124">
            <v>1</v>
          </cell>
          <cell r="CZ124">
            <v>12957</v>
          </cell>
          <cell r="DA124" t="str">
            <v>Демский</v>
          </cell>
          <cell r="DB124" t="str">
            <v>3.Сборные ж/б панели</v>
          </cell>
          <cell r="DC124">
            <v>12957</v>
          </cell>
          <cell r="DD124">
            <v>12957</v>
          </cell>
          <cell r="DE124">
            <v>12957</v>
          </cell>
          <cell r="DF124">
            <v>12957</v>
          </cell>
          <cell r="DG124">
            <v>12957</v>
          </cell>
          <cell r="DH124">
            <v>12957</v>
          </cell>
          <cell r="DI124">
            <v>12957</v>
          </cell>
          <cell r="DJ124">
            <v>12957</v>
          </cell>
          <cell r="DK124">
            <v>12957</v>
          </cell>
          <cell r="DL124">
            <v>12957</v>
          </cell>
          <cell r="DM124">
            <v>6382956</v>
          </cell>
          <cell r="DN124">
            <v>4</v>
          </cell>
          <cell r="DO124" t="str">
            <v>Отопление</v>
          </cell>
          <cell r="DP124" t="str">
            <v>УЖХ</v>
          </cell>
          <cell r="DQ124">
            <v>35676</v>
          </cell>
          <cell r="DR124">
            <v>0</v>
          </cell>
          <cell r="DS124">
            <v>70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 t="str">
            <v>3.Зависимая схема</v>
          </cell>
          <cell r="EE124" t="str">
            <v>Верхний</v>
          </cell>
          <cell r="EF124">
            <v>0</v>
          </cell>
          <cell r="EG124">
            <v>0</v>
          </cell>
          <cell r="EH124">
            <v>513.29999999999995</v>
          </cell>
          <cell r="EI124">
            <v>1326.6</v>
          </cell>
          <cell r="EJ124">
            <v>54.4</v>
          </cell>
          <cell r="EK124">
            <v>698.2</v>
          </cell>
          <cell r="EL124">
            <v>0</v>
          </cell>
          <cell r="EM124">
            <v>69.7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62.4</v>
          </cell>
          <cell r="FB124">
            <v>1</v>
          </cell>
          <cell r="FC124">
            <v>1</v>
          </cell>
          <cell r="FD124">
            <v>0</v>
          </cell>
          <cell r="FE124">
            <v>0</v>
          </cell>
          <cell r="FF124">
            <v>18</v>
          </cell>
          <cell r="FG124">
            <v>2</v>
          </cell>
          <cell r="FH124">
            <v>2</v>
          </cell>
          <cell r="FI124">
            <v>44866</v>
          </cell>
          <cell r="FJ124">
            <v>15477</v>
          </cell>
          <cell r="FK124">
            <v>15477</v>
          </cell>
          <cell r="FL124">
            <v>4519.6000000000004</v>
          </cell>
          <cell r="FM124">
            <v>78.92</v>
          </cell>
          <cell r="FN124">
            <v>1890.7</v>
          </cell>
          <cell r="FO124">
            <v>5672.1</v>
          </cell>
        </row>
        <row r="125">
          <cell r="AI125" t="str">
            <v>Ул. Левитана дом 14/3</v>
          </cell>
          <cell r="AJ125">
            <v>5672.09765625</v>
          </cell>
          <cell r="AK125">
            <v>3580.6</v>
          </cell>
          <cell r="AL125">
            <v>2377.6</v>
          </cell>
          <cell r="AM125">
            <v>6</v>
          </cell>
          <cell r="AN125">
            <v>6</v>
          </cell>
          <cell r="AO125" t="str">
            <v>АО УЖХ Демского района</v>
          </cell>
          <cell r="AP125">
            <v>3493.61</v>
          </cell>
          <cell r="AQ125">
            <v>87.99</v>
          </cell>
          <cell r="AR125">
            <v>357</v>
          </cell>
          <cell r="AS125">
            <v>12.2</v>
          </cell>
          <cell r="AT125">
            <v>80</v>
          </cell>
          <cell r="AU125">
            <v>5</v>
          </cell>
          <cell r="AV125">
            <v>197</v>
          </cell>
          <cell r="AW125">
            <v>0</v>
          </cell>
          <cell r="AX125">
            <v>0</v>
          </cell>
          <cell r="AY125">
            <v>874.2</v>
          </cell>
          <cell r="AZ125">
            <v>2391</v>
          </cell>
          <cell r="BA125">
            <v>3500</v>
          </cell>
          <cell r="BB125">
            <v>3500</v>
          </cell>
          <cell r="BC125" t="str">
            <v>Управляющая компания</v>
          </cell>
          <cell r="BD125" t="str">
            <v>1. Жилой дом</v>
          </cell>
          <cell r="BE125">
            <v>40.6</v>
          </cell>
          <cell r="BF125" t="str">
            <v>2.Чёрный</v>
          </cell>
          <cell r="BG125" t="str">
            <v>1.Оцинкованный</v>
          </cell>
          <cell r="BH125" t="str">
            <v>3.Водяной</v>
          </cell>
          <cell r="BI125" t="str">
            <v>МУП УИС</v>
          </cell>
          <cell r="BJ125" t="str">
            <v>1. Чугун</v>
          </cell>
          <cell r="BK125">
            <v>40.5999755859375</v>
          </cell>
          <cell r="BL125" t="str">
            <v>2.Кирпич</v>
          </cell>
          <cell r="BM125">
            <v>26665</v>
          </cell>
          <cell r="BN125">
            <v>26665</v>
          </cell>
          <cell r="BO125" t="str">
            <v>Оборудован</v>
          </cell>
          <cell r="BP125" t="str">
            <v>2.Лист железный</v>
          </cell>
          <cell r="BQ125" t="str">
            <v>1.Скатная</v>
          </cell>
          <cell r="BR125">
            <v>1378</v>
          </cell>
          <cell r="BS125">
            <v>1110.8</v>
          </cell>
          <cell r="BT125">
            <v>1110.7998046875</v>
          </cell>
          <cell r="BU125">
            <v>1110.7998046875</v>
          </cell>
          <cell r="BV125">
            <v>0</v>
          </cell>
          <cell r="BW125" t="str">
            <v>3.Частный жилищный фонд</v>
          </cell>
          <cell r="BX125">
            <v>80</v>
          </cell>
          <cell r="BY125">
            <v>0</v>
          </cell>
          <cell r="BZ125" t="str">
            <v>2-я</v>
          </cell>
          <cell r="CA125">
            <v>1</v>
          </cell>
          <cell r="CB125">
            <v>27.01</v>
          </cell>
          <cell r="CC125">
            <v>27.009994506835938</v>
          </cell>
          <cell r="CD125">
            <v>3581.6</v>
          </cell>
          <cell r="CE125">
            <v>3581.599609375</v>
          </cell>
          <cell r="CF125" t="str">
            <v>ООО "Гранд"</v>
          </cell>
          <cell r="CG125">
            <v>78</v>
          </cell>
          <cell r="CH125">
            <v>2</v>
          </cell>
          <cell r="CI125">
            <v>2</v>
          </cell>
          <cell r="CJ125">
            <v>2</v>
          </cell>
          <cell r="CK125">
            <v>0</v>
          </cell>
          <cell r="CL125">
            <v>1</v>
          </cell>
          <cell r="CM125">
            <v>82</v>
          </cell>
          <cell r="CN125">
            <v>369.2</v>
          </cell>
          <cell r="CO125">
            <v>369.2</v>
          </cell>
          <cell r="CP125">
            <v>1480</v>
          </cell>
          <cell r="CQ125">
            <v>1480</v>
          </cell>
          <cell r="CR125">
            <v>1480</v>
          </cell>
          <cell r="CS125">
            <v>2</v>
          </cell>
          <cell r="CT125">
            <v>80</v>
          </cell>
          <cell r="CU125">
            <v>0</v>
          </cell>
          <cell r="CV125">
            <v>72</v>
          </cell>
          <cell r="CW125">
            <v>76</v>
          </cell>
          <cell r="CX125">
            <v>2</v>
          </cell>
          <cell r="CY125">
            <v>2</v>
          </cell>
          <cell r="CZ125">
            <v>18781</v>
          </cell>
          <cell r="DA125" t="str">
            <v>Демский</v>
          </cell>
          <cell r="DB125" t="str">
            <v>3.Сборные ж/б панели</v>
          </cell>
          <cell r="DC125">
            <v>18781</v>
          </cell>
          <cell r="DD125">
            <v>18781</v>
          </cell>
          <cell r="DE125">
            <v>18781</v>
          </cell>
          <cell r="DF125">
            <v>18781</v>
          </cell>
          <cell r="DG125">
            <v>18781</v>
          </cell>
          <cell r="DH125">
            <v>18781</v>
          </cell>
          <cell r="DI125">
            <v>18781</v>
          </cell>
          <cell r="DJ125">
            <v>18781</v>
          </cell>
          <cell r="DK125">
            <v>18781</v>
          </cell>
          <cell r="DL125">
            <v>18781</v>
          </cell>
          <cell r="DM125">
            <v>7970220</v>
          </cell>
          <cell r="DN125">
            <v>5</v>
          </cell>
          <cell r="DO125" t="str">
            <v>Отопление</v>
          </cell>
          <cell r="DP125" t="str">
            <v>УЖХ</v>
          </cell>
          <cell r="DQ125">
            <v>40190</v>
          </cell>
          <cell r="DR125">
            <v>0</v>
          </cell>
          <cell r="DS125">
            <v>80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 t="str">
            <v>3.Зависимая схема</v>
          </cell>
          <cell r="EE125" t="str">
            <v>Нижний</v>
          </cell>
          <cell r="EF125">
            <v>0</v>
          </cell>
          <cell r="EG125">
            <v>0</v>
          </cell>
          <cell r="EH125">
            <v>900</v>
          </cell>
          <cell r="EI125">
            <v>2600</v>
          </cell>
          <cell r="EJ125">
            <v>346</v>
          </cell>
          <cell r="EK125">
            <v>1764</v>
          </cell>
          <cell r="EL125">
            <v>1764</v>
          </cell>
          <cell r="EM125">
            <v>179</v>
          </cell>
          <cell r="EN125">
            <v>3</v>
          </cell>
          <cell r="EO125">
            <v>3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0</v>
          </cell>
          <cell r="EW125">
            <v>12</v>
          </cell>
          <cell r="EX125">
            <v>1</v>
          </cell>
          <cell r="EY125">
            <v>1</v>
          </cell>
          <cell r="EZ125">
            <v>0</v>
          </cell>
          <cell r="FA125">
            <v>90</v>
          </cell>
          <cell r="FB125">
            <v>1</v>
          </cell>
          <cell r="FC125">
            <v>1</v>
          </cell>
          <cell r="FD125">
            <v>0</v>
          </cell>
          <cell r="FE125">
            <v>0</v>
          </cell>
          <cell r="FF125">
            <v>15.95</v>
          </cell>
          <cell r="FG125">
            <v>2</v>
          </cell>
          <cell r="FH125">
            <v>2</v>
          </cell>
          <cell r="FI125">
            <v>43118</v>
          </cell>
          <cell r="FJ125">
            <v>15477</v>
          </cell>
          <cell r="FK125">
            <v>15477</v>
          </cell>
          <cell r="FL125">
            <v>5934.8</v>
          </cell>
          <cell r="FM125">
            <v>78.92</v>
          </cell>
          <cell r="FN125">
            <v>2160.8000000000002</v>
          </cell>
          <cell r="FO125">
            <v>6482.4000000000005</v>
          </cell>
        </row>
        <row r="126">
          <cell r="AI126" t="str">
            <v>Ул. Левитана дом 14/5</v>
          </cell>
          <cell r="AJ126">
            <v>6482.3984375</v>
          </cell>
          <cell r="AK126">
            <v>3393.3</v>
          </cell>
          <cell r="AL126">
            <v>2266.1999999999998</v>
          </cell>
          <cell r="AM126">
            <v>4</v>
          </cell>
          <cell r="AN126">
            <v>4</v>
          </cell>
          <cell r="AO126" t="str">
            <v>АО УЖХ Демского района</v>
          </cell>
          <cell r="AP126">
            <v>3388.4</v>
          </cell>
          <cell r="AQ126">
            <v>0</v>
          </cell>
          <cell r="AR126">
            <v>271.2</v>
          </cell>
          <cell r="AS126">
            <v>8.1999999999999993</v>
          </cell>
          <cell r="AT126">
            <v>70</v>
          </cell>
          <cell r="AU126">
            <v>5</v>
          </cell>
          <cell r="AV126">
            <v>166</v>
          </cell>
          <cell r="AW126">
            <v>0</v>
          </cell>
          <cell r="AX126">
            <v>0</v>
          </cell>
          <cell r="AY126">
            <v>0</v>
          </cell>
          <cell r="AZ126">
            <v>1235.8</v>
          </cell>
          <cell r="BA126">
            <v>1365.9</v>
          </cell>
          <cell r="BB126">
            <v>1365.8994140625</v>
          </cell>
          <cell r="BC126" t="str">
            <v>Управляющая компания</v>
          </cell>
          <cell r="BD126" t="str">
            <v>1. Жилой дом</v>
          </cell>
          <cell r="BE126">
            <v>39.799999999999997</v>
          </cell>
          <cell r="BF126" t="str">
            <v>2.Чёрный</v>
          </cell>
          <cell r="BG126" t="str">
            <v>2.Чёрный</v>
          </cell>
          <cell r="BH126" t="str">
            <v>3.Водяной</v>
          </cell>
          <cell r="BI126" t="str">
            <v>МУП УИС</v>
          </cell>
          <cell r="BJ126" t="str">
            <v>1. Чугун</v>
          </cell>
          <cell r="BK126">
            <v>39.79998779296875</v>
          </cell>
          <cell r="BL126" t="str">
            <v>2.Кирпич</v>
          </cell>
          <cell r="BM126">
            <v>27030</v>
          </cell>
          <cell r="BN126">
            <v>27030</v>
          </cell>
          <cell r="BO126" t="str">
            <v>Оборудован</v>
          </cell>
          <cell r="BP126" t="str">
            <v>1.Абсоцемент(шифер)</v>
          </cell>
          <cell r="BQ126" t="str">
            <v>1.Скатная</v>
          </cell>
          <cell r="BR126">
            <v>1224</v>
          </cell>
          <cell r="BS126">
            <v>930.2</v>
          </cell>
          <cell r="BT126">
            <v>930.19970703125</v>
          </cell>
          <cell r="BU126">
            <v>930.19970703125</v>
          </cell>
          <cell r="BV126">
            <v>0</v>
          </cell>
          <cell r="BW126" t="str">
            <v>3.Частный жилищный фонд</v>
          </cell>
          <cell r="BX126">
            <v>70</v>
          </cell>
          <cell r="BY126">
            <v>0</v>
          </cell>
          <cell r="BZ126" t="str">
            <v>2-я</v>
          </cell>
          <cell r="CA126">
            <v>1</v>
          </cell>
          <cell r="CB126">
            <v>27.01</v>
          </cell>
          <cell r="CC126">
            <v>27.009994506835938</v>
          </cell>
          <cell r="CD126">
            <v>3388.4</v>
          </cell>
          <cell r="CE126">
            <v>3388.3984375</v>
          </cell>
          <cell r="CF126" t="str">
            <v>ООО "Гранд"</v>
          </cell>
          <cell r="CG126">
            <v>70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1</v>
          </cell>
          <cell r="CM126">
            <v>71</v>
          </cell>
          <cell r="CN126">
            <v>279.39999999999998</v>
          </cell>
          <cell r="CO126">
            <v>279.39999999999998</v>
          </cell>
          <cell r="CP126">
            <v>1209.5999999999999</v>
          </cell>
          <cell r="CQ126">
            <v>1209.599609375</v>
          </cell>
          <cell r="CR126">
            <v>1209.599609375</v>
          </cell>
          <cell r="CS126">
            <v>1</v>
          </cell>
          <cell r="CT126">
            <v>70</v>
          </cell>
          <cell r="CU126">
            <v>0</v>
          </cell>
          <cell r="CV126">
            <v>56</v>
          </cell>
          <cell r="CW126">
            <v>60</v>
          </cell>
          <cell r="CX126">
            <v>1</v>
          </cell>
          <cell r="CY126">
            <v>1</v>
          </cell>
          <cell r="CZ126">
            <v>13412</v>
          </cell>
          <cell r="DA126" t="str">
            <v>Демский</v>
          </cell>
          <cell r="DB126" t="str">
            <v>3.Сборные ж/б панели</v>
          </cell>
          <cell r="DC126">
            <v>13412</v>
          </cell>
          <cell r="DD126">
            <v>13412</v>
          </cell>
          <cell r="DE126">
            <v>13412</v>
          </cell>
          <cell r="DF126">
            <v>13412</v>
          </cell>
          <cell r="DG126">
            <v>13412</v>
          </cell>
          <cell r="DH126">
            <v>13412</v>
          </cell>
          <cell r="DI126">
            <v>13412</v>
          </cell>
          <cell r="DJ126">
            <v>13412</v>
          </cell>
          <cell r="DK126">
            <v>13412</v>
          </cell>
          <cell r="DL126">
            <v>13412</v>
          </cell>
          <cell r="DM126">
            <v>4856891</v>
          </cell>
          <cell r="DN126">
            <v>4</v>
          </cell>
          <cell r="DO126" t="str">
            <v>ГВС</v>
          </cell>
          <cell r="DP126" t="str">
            <v>УЖХ</v>
          </cell>
          <cell r="DQ126">
            <v>38834</v>
          </cell>
          <cell r="DR126">
            <v>0</v>
          </cell>
          <cell r="DS126">
            <v>70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 t="str">
            <v>4. Независимая схема</v>
          </cell>
          <cell r="EE126" t="str">
            <v>Нижний</v>
          </cell>
          <cell r="EF126">
            <v>0</v>
          </cell>
          <cell r="EG126">
            <v>0</v>
          </cell>
          <cell r="EH126">
            <v>0</v>
          </cell>
          <cell r="EI126">
            <v>1365.9</v>
          </cell>
          <cell r="EJ126">
            <v>303.60000000000002</v>
          </cell>
          <cell r="EK126">
            <v>847.8</v>
          </cell>
          <cell r="EL126">
            <v>0</v>
          </cell>
          <cell r="EM126">
            <v>44.4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40</v>
          </cell>
          <cell r="FB126">
            <v>1</v>
          </cell>
          <cell r="FC126">
            <v>1</v>
          </cell>
          <cell r="FD126">
            <v>0</v>
          </cell>
          <cell r="FE126">
            <v>0</v>
          </cell>
          <cell r="FF126">
            <v>12.06</v>
          </cell>
          <cell r="FG126">
            <v>12.05999755859375</v>
          </cell>
          <cell r="FH126">
            <v>12.05999755859375</v>
          </cell>
          <cell r="FI126">
            <v>43466</v>
          </cell>
          <cell r="FJ126">
            <v>15477</v>
          </cell>
          <cell r="FK126">
            <v>15477</v>
          </cell>
          <cell r="FL126">
            <v>4602.8999999999996</v>
          </cell>
          <cell r="FM126">
            <v>78.92</v>
          </cell>
          <cell r="FN126">
            <v>1890.7</v>
          </cell>
          <cell r="FO126">
            <v>5672.1</v>
          </cell>
        </row>
        <row r="127">
          <cell r="AI127" t="str">
            <v>Ул. Левитана дом 14/6</v>
          </cell>
          <cell r="AJ127">
            <v>5672.09765625</v>
          </cell>
          <cell r="AK127">
            <v>3347</v>
          </cell>
          <cell r="AL127">
            <v>2269.3000000000002</v>
          </cell>
          <cell r="AM127">
            <v>4</v>
          </cell>
          <cell r="AN127">
            <v>4</v>
          </cell>
          <cell r="AO127" t="str">
            <v>АО УЖХ Демского района</v>
          </cell>
          <cell r="AP127">
            <v>3068.9</v>
          </cell>
          <cell r="AQ127">
            <v>277.10000000000002</v>
          </cell>
          <cell r="AR127">
            <v>223</v>
          </cell>
          <cell r="AS127">
            <v>7.6</v>
          </cell>
          <cell r="AT127">
            <v>70</v>
          </cell>
          <cell r="AU127">
            <v>5</v>
          </cell>
          <cell r="AV127">
            <v>163</v>
          </cell>
          <cell r="AW127">
            <v>0</v>
          </cell>
          <cell r="AX127">
            <v>0</v>
          </cell>
          <cell r="AY127">
            <v>0</v>
          </cell>
          <cell r="AZ127">
            <v>1651.68</v>
          </cell>
          <cell r="BA127">
            <v>1641.3</v>
          </cell>
          <cell r="BB127">
            <v>1641.2998046875</v>
          </cell>
          <cell r="BC127" t="str">
            <v>Управляющая компания</v>
          </cell>
          <cell r="BD127" t="str">
            <v>1. Жилой дом</v>
          </cell>
          <cell r="BE127">
            <v>39.799999999999997</v>
          </cell>
          <cell r="BF127" t="str">
            <v>2.Чёрный</v>
          </cell>
          <cell r="BG127" t="str">
            <v>2.Чёрный</v>
          </cell>
          <cell r="BH127" t="str">
            <v>3.Водяной</v>
          </cell>
          <cell r="BI127" t="str">
            <v>МУП УИС</v>
          </cell>
          <cell r="BJ127" t="str">
            <v>1. Чугун</v>
          </cell>
          <cell r="BK127">
            <v>39.79998779296875</v>
          </cell>
          <cell r="BL127" t="str">
            <v>2.Кирпич</v>
          </cell>
          <cell r="BM127">
            <v>27030</v>
          </cell>
          <cell r="BN127">
            <v>27030</v>
          </cell>
          <cell r="BO127" t="str">
            <v>Оборудован</v>
          </cell>
          <cell r="BP127" t="str">
            <v>4.Мягк/рулонная</v>
          </cell>
          <cell r="BQ127" t="str">
            <v>2.Плоская</v>
          </cell>
          <cell r="BR127">
            <v>1201</v>
          </cell>
          <cell r="BS127">
            <v>924</v>
          </cell>
          <cell r="BT127">
            <v>924</v>
          </cell>
          <cell r="BU127">
            <v>924</v>
          </cell>
          <cell r="BV127">
            <v>0</v>
          </cell>
          <cell r="BW127" t="str">
            <v>3.Частный жилищный фонд</v>
          </cell>
          <cell r="BX127">
            <v>70</v>
          </cell>
          <cell r="BY127">
            <v>0</v>
          </cell>
          <cell r="BZ127" t="str">
            <v>2-я</v>
          </cell>
          <cell r="CA127">
            <v>1</v>
          </cell>
          <cell r="CB127">
            <v>27.01</v>
          </cell>
          <cell r="CC127">
            <v>27.009994506835938</v>
          </cell>
          <cell r="CD127">
            <v>3346</v>
          </cell>
          <cell r="CE127">
            <v>3346</v>
          </cell>
          <cell r="CF127" t="str">
            <v>ООО "Гранд"</v>
          </cell>
          <cell r="CG127">
            <v>65</v>
          </cell>
          <cell r="CH127">
            <v>5</v>
          </cell>
          <cell r="CI127">
            <v>5</v>
          </cell>
          <cell r="CJ127">
            <v>5</v>
          </cell>
          <cell r="CK127">
            <v>0</v>
          </cell>
          <cell r="CL127">
            <v>1</v>
          </cell>
          <cell r="CM127">
            <v>70</v>
          </cell>
          <cell r="CN127">
            <v>230.6</v>
          </cell>
          <cell r="CO127">
            <v>230.6</v>
          </cell>
          <cell r="CP127">
            <v>1154.5999999999999</v>
          </cell>
          <cell r="CQ127">
            <v>1154.599609375</v>
          </cell>
          <cell r="CR127">
            <v>1154.599609375</v>
          </cell>
          <cell r="CS127">
            <v>1</v>
          </cell>
          <cell r="CT127">
            <v>70</v>
          </cell>
          <cell r="CU127">
            <v>0</v>
          </cell>
          <cell r="CV127">
            <v>63</v>
          </cell>
          <cell r="CW127">
            <v>67</v>
          </cell>
          <cell r="CX127">
            <v>1</v>
          </cell>
          <cell r="CY127">
            <v>1</v>
          </cell>
          <cell r="CZ127">
            <v>13120</v>
          </cell>
          <cell r="DA127" t="str">
            <v>Демский</v>
          </cell>
          <cell r="DB127" t="str">
            <v>3.Сборные ж/б панели</v>
          </cell>
          <cell r="DC127">
            <v>13120</v>
          </cell>
          <cell r="DD127">
            <v>13120</v>
          </cell>
          <cell r="DE127">
            <v>13120</v>
          </cell>
          <cell r="DF127">
            <v>13120</v>
          </cell>
          <cell r="DG127">
            <v>13120</v>
          </cell>
          <cell r="DH127">
            <v>13120</v>
          </cell>
          <cell r="DI127">
            <v>13120</v>
          </cell>
          <cell r="DJ127">
            <v>13120</v>
          </cell>
          <cell r="DK127">
            <v>13120</v>
          </cell>
          <cell r="DL127">
            <v>13120</v>
          </cell>
          <cell r="DM127">
            <v>5920786</v>
          </cell>
          <cell r="DN127">
            <v>2</v>
          </cell>
          <cell r="DO127" t="str">
            <v>ГВС</v>
          </cell>
          <cell r="DP127" t="str">
            <v>УЖХ</v>
          </cell>
          <cell r="DQ127">
            <v>35510</v>
          </cell>
          <cell r="DR127">
            <v>0</v>
          </cell>
          <cell r="DS127">
            <v>70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 t="str">
            <v>4. Независимая схема</v>
          </cell>
          <cell r="EE127" t="str">
            <v>Нижний</v>
          </cell>
          <cell r="EF127">
            <v>0</v>
          </cell>
          <cell r="EG127">
            <v>0</v>
          </cell>
          <cell r="EH127">
            <v>0</v>
          </cell>
          <cell r="EI127">
            <v>1394.1</v>
          </cell>
          <cell r="EJ127">
            <v>226.78</v>
          </cell>
          <cell r="EK127">
            <v>1167.7</v>
          </cell>
          <cell r="EL127">
            <v>14.5</v>
          </cell>
          <cell r="EM127">
            <v>163.30000000000001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247.2</v>
          </cell>
          <cell r="EV127">
            <v>1</v>
          </cell>
          <cell r="EW127">
            <v>1</v>
          </cell>
          <cell r="EX127">
            <v>0</v>
          </cell>
          <cell r="EY127">
            <v>0</v>
          </cell>
          <cell r="EZ127">
            <v>0</v>
          </cell>
          <cell r="FA127">
            <v>79.400000000000006</v>
          </cell>
          <cell r="FB127">
            <v>1</v>
          </cell>
          <cell r="FC127">
            <v>1</v>
          </cell>
          <cell r="FD127">
            <v>0</v>
          </cell>
          <cell r="FE127">
            <v>0</v>
          </cell>
          <cell r="FF127">
            <v>13.85</v>
          </cell>
          <cell r="FG127">
            <v>13.849998474121094</v>
          </cell>
          <cell r="FH127">
            <v>13.849998474121094</v>
          </cell>
          <cell r="FI127">
            <v>43826</v>
          </cell>
          <cell r="FJ127">
            <v>15477</v>
          </cell>
          <cell r="FK127">
            <v>15477</v>
          </cell>
          <cell r="FL127">
            <v>4501.6000000000004</v>
          </cell>
          <cell r="FM127">
            <v>78.92</v>
          </cell>
          <cell r="FN127">
            <v>1890.7</v>
          </cell>
          <cell r="FO127">
            <v>5672.1</v>
          </cell>
        </row>
        <row r="128">
          <cell r="AI128" t="str">
            <v>Ул. Левитана дом 15</v>
          </cell>
          <cell r="AJ128">
            <v>5672.09765625</v>
          </cell>
          <cell r="AK128">
            <v>644.79999999999995</v>
          </cell>
          <cell r="AL128">
            <v>425.6</v>
          </cell>
          <cell r="AM128">
            <v>2</v>
          </cell>
          <cell r="AN128">
            <v>2</v>
          </cell>
          <cell r="AO128" t="str">
            <v>АО УЖХ Демского района</v>
          </cell>
          <cell r="AP128">
            <v>544.03</v>
          </cell>
          <cell r="AQ128">
            <v>100.97</v>
          </cell>
          <cell r="AR128">
            <v>56.9</v>
          </cell>
          <cell r="AS128">
            <v>5.5</v>
          </cell>
          <cell r="AT128">
            <v>12</v>
          </cell>
          <cell r="AU128">
            <v>2</v>
          </cell>
          <cell r="AV128">
            <v>57</v>
          </cell>
          <cell r="AW128">
            <v>0</v>
          </cell>
          <cell r="AX128">
            <v>0</v>
          </cell>
          <cell r="AY128">
            <v>0</v>
          </cell>
          <cell r="AZ128">
            <v>531.6</v>
          </cell>
          <cell r="BA128">
            <v>761.4</v>
          </cell>
          <cell r="BB128">
            <v>761.39990234375</v>
          </cell>
          <cell r="BC128" t="str">
            <v>Непосредственное</v>
          </cell>
          <cell r="BD128" t="str">
            <v>1. Жилой дом</v>
          </cell>
          <cell r="BE128">
            <v>71.75</v>
          </cell>
          <cell r="BF128" t="str">
            <v>1.Оцинкованный</v>
          </cell>
          <cell r="BG128">
            <v>71.75</v>
          </cell>
          <cell r="BH128" t="str">
            <v>3.Водяной</v>
          </cell>
          <cell r="BI128" t="str">
            <v>МУП УИС</v>
          </cell>
          <cell r="BJ128" t="str">
            <v>1. Чугун</v>
          </cell>
          <cell r="BK128">
            <v>71.75</v>
          </cell>
          <cell r="BL128" t="str">
            <v>4.Шлакоблок</v>
          </cell>
          <cell r="BM128">
            <v>18994</v>
          </cell>
          <cell r="BN128">
            <v>12</v>
          </cell>
          <cell r="BO128" t="str">
            <v>Не оборудован</v>
          </cell>
          <cell r="BP128" t="str">
            <v>8.Профнастил</v>
          </cell>
          <cell r="BQ128" t="str">
            <v>1.Скатная</v>
          </cell>
          <cell r="BR128">
            <v>613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 t="str">
            <v>3.Частный жилищный фонд</v>
          </cell>
          <cell r="BX128">
            <v>12</v>
          </cell>
          <cell r="BY128">
            <v>0</v>
          </cell>
          <cell r="BZ128" t="str">
            <v>3-я</v>
          </cell>
          <cell r="CA128">
            <v>1</v>
          </cell>
          <cell r="CB128">
            <v>27.01</v>
          </cell>
          <cell r="CC128">
            <v>1</v>
          </cell>
          <cell r="CD128">
            <v>1</v>
          </cell>
          <cell r="CE128">
            <v>1</v>
          </cell>
          <cell r="CF128" t="str">
            <v>ООО "Гранд"</v>
          </cell>
          <cell r="CG128">
            <v>10</v>
          </cell>
          <cell r="CH128">
            <v>2</v>
          </cell>
          <cell r="CI128">
            <v>2</v>
          </cell>
          <cell r="CJ128">
            <v>2</v>
          </cell>
          <cell r="CK128">
            <v>0</v>
          </cell>
          <cell r="CL128">
            <v>0</v>
          </cell>
          <cell r="CM128">
            <v>16</v>
          </cell>
          <cell r="CN128">
            <v>62.4</v>
          </cell>
          <cell r="CO128">
            <v>0</v>
          </cell>
          <cell r="CP128">
            <v>62.4</v>
          </cell>
          <cell r="CQ128">
            <v>62.399993896484375</v>
          </cell>
          <cell r="CR128">
            <v>62.399993896484375</v>
          </cell>
          <cell r="CS128">
            <v>0</v>
          </cell>
          <cell r="CT128">
            <v>12</v>
          </cell>
          <cell r="CU128">
            <v>0</v>
          </cell>
          <cell r="CV128">
            <v>0</v>
          </cell>
          <cell r="CW128">
            <v>0</v>
          </cell>
          <cell r="CX128">
            <v>1</v>
          </cell>
          <cell r="CY128">
            <v>1</v>
          </cell>
          <cell r="CZ128">
            <v>3301</v>
          </cell>
          <cell r="DA128" t="str">
            <v>Демский</v>
          </cell>
          <cell r="DB128" t="str">
            <v>2.Деревянные</v>
          </cell>
          <cell r="DC128">
            <v>3301</v>
          </cell>
          <cell r="DD128">
            <v>3301</v>
          </cell>
          <cell r="DE128">
            <v>3301</v>
          </cell>
          <cell r="DF128">
            <v>3301</v>
          </cell>
          <cell r="DG128">
            <v>3301</v>
          </cell>
          <cell r="DH128">
            <v>3301</v>
          </cell>
          <cell r="DI128">
            <v>3301</v>
          </cell>
          <cell r="DJ128">
            <v>3301</v>
          </cell>
          <cell r="DK128">
            <v>0</v>
          </cell>
          <cell r="DL128">
            <v>0</v>
          </cell>
          <cell r="DM128">
            <v>1217715</v>
          </cell>
          <cell r="DN128">
            <v>0</v>
          </cell>
          <cell r="DO128">
            <v>0</v>
          </cell>
          <cell r="DP128" t="str">
            <v>УЖХ</v>
          </cell>
          <cell r="DQ128">
            <v>29321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 t="str">
            <v>3.Зависимая схема</v>
          </cell>
          <cell r="EE128" t="str">
            <v>Верхний</v>
          </cell>
          <cell r="EF128">
            <v>0</v>
          </cell>
          <cell r="EG128">
            <v>0</v>
          </cell>
          <cell r="EH128">
            <v>0</v>
          </cell>
          <cell r="EI128">
            <v>761.4</v>
          </cell>
          <cell r="EJ128">
            <v>322.44</v>
          </cell>
          <cell r="EK128">
            <v>171.76</v>
          </cell>
          <cell r="EL128">
            <v>171.7598876953125</v>
          </cell>
          <cell r="EM128">
            <v>171.7598876953125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37.4</v>
          </cell>
          <cell r="FB128">
            <v>1</v>
          </cell>
          <cell r="FC128">
            <v>1</v>
          </cell>
          <cell r="FD128">
            <v>0</v>
          </cell>
          <cell r="FE128">
            <v>0</v>
          </cell>
          <cell r="FF128">
            <v>18.73</v>
          </cell>
          <cell r="FG128">
            <v>18.729995727539063</v>
          </cell>
          <cell r="FH128" t="str">
            <v>С УЛК (ЖЭУ)</v>
          </cell>
          <cell r="FI128">
            <v>43647</v>
          </cell>
          <cell r="FJ128">
            <v>15477</v>
          </cell>
          <cell r="FK128">
            <v>15477</v>
          </cell>
          <cell r="FL128">
            <v>707.2</v>
          </cell>
          <cell r="FM128">
            <v>78.92</v>
          </cell>
          <cell r="FN128">
            <v>1271.1599999999999</v>
          </cell>
          <cell r="FO128">
            <v>3813.4799999999996</v>
          </cell>
        </row>
        <row r="129">
          <cell r="AI129" t="str">
            <v>Ул. Левитана дом 17</v>
          </cell>
          <cell r="AJ129">
            <v>3813.478515625</v>
          </cell>
          <cell r="AK129">
            <v>636</v>
          </cell>
          <cell r="AL129">
            <v>409.5</v>
          </cell>
          <cell r="AM129">
            <v>2</v>
          </cell>
          <cell r="AN129">
            <v>2</v>
          </cell>
          <cell r="AO129" t="str">
            <v>АО УЖХ Демского района</v>
          </cell>
          <cell r="AP129">
            <v>592.01</v>
          </cell>
          <cell r="AQ129">
            <v>43.29</v>
          </cell>
          <cell r="AR129">
            <v>42</v>
          </cell>
          <cell r="AS129">
            <v>2.6</v>
          </cell>
          <cell r="AT129">
            <v>12</v>
          </cell>
          <cell r="AU129">
            <v>2</v>
          </cell>
          <cell r="AV129">
            <v>40</v>
          </cell>
          <cell r="AW129">
            <v>0</v>
          </cell>
          <cell r="AX129">
            <v>0</v>
          </cell>
          <cell r="AY129">
            <v>0</v>
          </cell>
          <cell r="AZ129">
            <v>815</v>
          </cell>
          <cell r="BA129">
            <v>384.9</v>
          </cell>
          <cell r="BB129">
            <v>384.89990234375</v>
          </cell>
          <cell r="BC129" t="str">
            <v>Непосредственное</v>
          </cell>
          <cell r="BD129" t="str">
            <v>1. Жилой дом</v>
          </cell>
          <cell r="BE129">
            <v>71.75</v>
          </cell>
          <cell r="BF129" t="str">
            <v>2.Чёрный</v>
          </cell>
          <cell r="BG129">
            <v>71.75</v>
          </cell>
          <cell r="BH129" t="str">
            <v>3.Водяной</v>
          </cell>
          <cell r="BI129" t="str">
            <v>МУП УИС</v>
          </cell>
          <cell r="BJ129" t="str">
            <v>1. Чугун</v>
          </cell>
          <cell r="BK129">
            <v>71.75</v>
          </cell>
          <cell r="BL129" t="str">
            <v>4.Шлакоблок</v>
          </cell>
          <cell r="BM129">
            <v>18994</v>
          </cell>
          <cell r="BN129">
            <v>12</v>
          </cell>
          <cell r="BO129" t="str">
            <v>Не оборудован</v>
          </cell>
          <cell r="BP129" t="str">
            <v>8.Профнастил</v>
          </cell>
          <cell r="BQ129" t="str">
            <v>1.Скатная</v>
          </cell>
          <cell r="BR129">
            <v>499</v>
          </cell>
          <cell r="BS129">
            <v>222.3</v>
          </cell>
          <cell r="BT129">
            <v>222.2999267578125</v>
          </cell>
          <cell r="BU129">
            <v>222.2999267578125</v>
          </cell>
          <cell r="BV129">
            <v>0</v>
          </cell>
          <cell r="BW129" t="str">
            <v>3.Частный жилищный фонд</v>
          </cell>
          <cell r="BX129">
            <v>12</v>
          </cell>
          <cell r="BY129">
            <v>0</v>
          </cell>
          <cell r="BZ129" t="str">
            <v>3-я</v>
          </cell>
          <cell r="CA129">
            <v>1</v>
          </cell>
          <cell r="CB129">
            <v>27.01</v>
          </cell>
          <cell r="CC129">
            <v>1</v>
          </cell>
          <cell r="CD129">
            <v>1</v>
          </cell>
          <cell r="CE129">
            <v>1</v>
          </cell>
          <cell r="CF129" t="str">
            <v>ООО "Гранд"</v>
          </cell>
          <cell r="CG129">
            <v>10</v>
          </cell>
          <cell r="CH129">
            <v>2</v>
          </cell>
          <cell r="CI129">
            <v>2</v>
          </cell>
          <cell r="CJ129">
            <v>2</v>
          </cell>
          <cell r="CK129">
            <v>0</v>
          </cell>
          <cell r="CL129">
            <v>0</v>
          </cell>
          <cell r="CM129">
            <v>17</v>
          </cell>
          <cell r="CN129">
            <v>44.6</v>
          </cell>
          <cell r="CO129">
            <v>0</v>
          </cell>
          <cell r="CP129">
            <v>266.89999999999998</v>
          </cell>
          <cell r="CQ129">
            <v>266.89990234375</v>
          </cell>
          <cell r="CR129">
            <v>266.89990234375</v>
          </cell>
          <cell r="CS129">
            <v>0</v>
          </cell>
          <cell r="CT129">
            <v>12</v>
          </cell>
          <cell r="CU129">
            <v>0</v>
          </cell>
          <cell r="CV129">
            <v>0</v>
          </cell>
          <cell r="CW129">
            <v>0</v>
          </cell>
          <cell r="CX129">
            <v>1</v>
          </cell>
          <cell r="CY129">
            <v>1</v>
          </cell>
          <cell r="CZ129">
            <v>3257</v>
          </cell>
          <cell r="DA129" t="str">
            <v>Демский</v>
          </cell>
          <cell r="DB129" t="str">
            <v>2.Деревянные</v>
          </cell>
          <cell r="DC129">
            <v>3257</v>
          </cell>
          <cell r="DD129">
            <v>3257</v>
          </cell>
          <cell r="DE129">
            <v>3257</v>
          </cell>
          <cell r="DF129">
            <v>3257</v>
          </cell>
          <cell r="DG129">
            <v>3257</v>
          </cell>
          <cell r="DH129">
            <v>3257</v>
          </cell>
          <cell r="DI129">
            <v>3257</v>
          </cell>
          <cell r="DJ129">
            <v>3257</v>
          </cell>
          <cell r="DK129">
            <v>0</v>
          </cell>
          <cell r="DL129">
            <v>0</v>
          </cell>
          <cell r="DM129">
            <v>1270354</v>
          </cell>
          <cell r="DN129">
            <v>0</v>
          </cell>
          <cell r="DO129">
            <v>0</v>
          </cell>
          <cell r="DP129" t="str">
            <v>УЖХ</v>
          </cell>
          <cell r="DQ129">
            <v>35691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 t="str">
            <v>3.Зависимая схема</v>
          </cell>
          <cell r="EE129" t="str">
            <v>Верхний</v>
          </cell>
          <cell r="EF129">
            <v>0</v>
          </cell>
          <cell r="EG129">
            <v>0</v>
          </cell>
          <cell r="EH129">
            <v>0</v>
          </cell>
          <cell r="EI129">
            <v>384.9</v>
          </cell>
          <cell r="EJ129">
            <v>314.85000000000002</v>
          </cell>
          <cell r="EK129">
            <v>485.15</v>
          </cell>
          <cell r="EL129">
            <v>485.14990234375</v>
          </cell>
          <cell r="EM129">
            <v>485.14990234375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15</v>
          </cell>
          <cell r="FB129">
            <v>1</v>
          </cell>
          <cell r="FC129">
            <v>1</v>
          </cell>
          <cell r="FD129">
            <v>0</v>
          </cell>
          <cell r="FE129">
            <v>0</v>
          </cell>
          <cell r="FF129">
            <v>18.18</v>
          </cell>
          <cell r="FG129">
            <v>18.17999267578125</v>
          </cell>
          <cell r="FH129" t="str">
            <v>С УЛК (ЖЭУ)</v>
          </cell>
          <cell r="FI129">
            <v>43647</v>
          </cell>
          <cell r="FJ129">
            <v>15477</v>
          </cell>
          <cell r="FK129">
            <v>15477</v>
          </cell>
          <cell r="FL129">
            <v>902.9</v>
          </cell>
          <cell r="FM129">
            <v>78.92</v>
          </cell>
          <cell r="FN129">
            <v>1271.1599999999999</v>
          </cell>
          <cell r="FO129">
            <v>3813.4799999999996</v>
          </cell>
        </row>
        <row r="130">
          <cell r="AI130" t="str">
            <v>Ул. Левитана дом 19</v>
          </cell>
          <cell r="AJ130">
            <v>3813.478515625</v>
          </cell>
          <cell r="AK130">
            <v>650.79999999999995</v>
          </cell>
          <cell r="AL130">
            <v>433.6</v>
          </cell>
          <cell r="AM130">
            <v>2</v>
          </cell>
          <cell r="AN130">
            <v>2</v>
          </cell>
          <cell r="AO130" t="str">
            <v>АО УЖХ Демского района</v>
          </cell>
          <cell r="AP130">
            <v>548.5</v>
          </cell>
          <cell r="AQ130">
            <v>101.6</v>
          </cell>
          <cell r="AR130">
            <v>56.7</v>
          </cell>
          <cell r="AS130">
            <v>5.8</v>
          </cell>
          <cell r="AT130">
            <v>12</v>
          </cell>
          <cell r="AU130">
            <v>2</v>
          </cell>
          <cell r="AV130">
            <v>32</v>
          </cell>
          <cell r="AW130">
            <v>0</v>
          </cell>
          <cell r="AX130">
            <v>0</v>
          </cell>
          <cell r="AY130">
            <v>0</v>
          </cell>
          <cell r="AZ130">
            <v>1037.05</v>
          </cell>
          <cell r="BA130">
            <v>775.8</v>
          </cell>
          <cell r="BB130">
            <v>775.7998046875</v>
          </cell>
          <cell r="BC130" t="str">
            <v>Непосредственное</v>
          </cell>
          <cell r="BD130" t="str">
            <v>1. Жилой дом</v>
          </cell>
          <cell r="BE130">
            <v>71.75</v>
          </cell>
          <cell r="BF130" t="str">
            <v>2.Чёрный</v>
          </cell>
          <cell r="BG130">
            <v>71.75</v>
          </cell>
          <cell r="BH130" t="str">
            <v>3.Водяной</v>
          </cell>
          <cell r="BI130" t="str">
            <v>МУП УИС</v>
          </cell>
          <cell r="BJ130" t="str">
            <v>1. Чугун</v>
          </cell>
          <cell r="BK130">
            <v>71.75</v>
          </cell>
          <cell r="BL130" t="str">
            <v>4.Шлакоблок</v>
          </cell>
          <cell r="BM130">
            <v>18994</v>
          </cell>
          <cell r="BN130">
            <v>18994</v>
          </cell>
          <cell r="BO130" t="str">
            <v>Не оборудован</v>
          </cell>
          <cell r="BP130" t="str">
            <v>8.Профнастил</v>
          </cell>
          <cell r="BQ130" t="str">
            <v>1.Скатная</v>
          </cell>
          <cell r="BR130">
            <v>455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 t="str">
            <v>3.Частный жилищный фонд</v>
          </cell>
          <cell r="BX130">
            <v>12</v>
          </cell>
          <cell r="BY130">
            <v>0</v>
          </cell>
          <cell r="BZ130" t="str">
            <v>3-я</v>
          </cell>
          <cell r="CA130">
            <v>1</v>
          </cell>
          <cell r="CB130">
            <v>27.01</v>
          </cell>
          <cell r="CC130">
            <v>1</v>
          </cell>
          <cell r="CD130">
            <v>1</v>
          </cell>
          <cell r="CE130">
            <v>1</v>
          </cell>
          <cell r="CF130" t="str">
            <v>ООО "Гранд"</v>
          </cell>
          <cell r="CG130">
            <v>10</v>
          </cell>
          <cell r="CH130">
            <v>2</v>
          </cell>
          <cell r="CI130">
            <v>2</v>
          </cell>
          <cell r="CJ130">
            <v>2</v>
          </cell>
          <cell r="CK130">
            <v>0</v>
          </cell>
          <cell r="CL130">
            <v>0</v>
          </cell>
          <cell r="CM130">
            <v>16</v>
          </cell>
          <cell r="CN130">
            <v>62.5</v>
          </cell>
          <cell r="CO130">
            <v>0</v>
          </cell>
          <cell r="CP130">
            <v>62.5</v>
          </cell>
          <cell r="CQ130">
            <v>62.5</v>
          </cell>
          <cell r="CR130">
            <v>62.5</v>
          </cell>
          <cell r="CS130">
            <v>0</v>
          </cell>
          <cell r="CT130">
            <v>12</v>
          </cell>
          <cell r="CU130">
            <v>0</v>
          </cell>
          <cell r="CV130">
            <v>0</v>
          </cell>
          <cell r="CW130">
            <v>0</v>
          </cell>
          <cell r="CX130">
            <v>1</v>
          </cell>
          <cell r="CY130">
            <v>1</v>
          </cell>
          <cell r="CZ130">
            <v>3262</v>
          </cell>
          <cell r="DA130" t="str">
            <v>Демский</v>
          </cell>
          <cell r="DB130" t="str">
            <v>2.Деревянные</v>
          </cell>
          <cell r="DC130">
            <v>3262</v>
          </cell>
          <cell r="DD130">
            <v>3262</v>
          </cell>
          <cell r="DE130">
            <v>3262</v>
          </cell>
          <cell r="DF130">
            <v>3262</v>
          </cell>
          <cell r="DG130">
            <v>3262</v>
          </cell>
          <cell r="DH130">
            <v>3262</v>
          </cell>
          <cell r="DI130">
            <v>3262</v>
          </cell>
          <cell r="DJ130">
            <v>3262</v>
          </cell>
          <cell r="DK130">
            <v>3262</v>
          </cell>
          <cell r="DL130">
            <v>0</v>
          </cell>
          <cell r="DM130">
            <v>1203328</v>
          </cell>
          <cell r="DN130">
            <v>0</v>
          </cell>
          <cell r="DO130">
            <v>0</v>
          </cell>
          <cell r="DP130" t="str">
            <v>УЖХ</v>
          </cell>
          <cell r="DQ130">
            <v>35660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 t="str">
            <v>3.Зависимая схема</v>
          </cell>
          <cell r="EE130" t="str">
            <v>Верхний</v>
          </cell>
          <cell r="EF130">
            <v>0</v>
          </cell>
          <cell r="EG130">
            <v>0</v>
          </cell>
          <cell r="EH130">
            <v>0</v>
          </cell>
          <cell r="EI130">
            <v>775.8</v>
          </cell>
          <cell r="EJ130">
            <v>213.28</v>
          </cell>
          <cell r="EK130">
            <v>721.77</v>
          </cell>
          <cell r="EL130">
            <v>721.76953125</v>
          </cell>
          <cell r="EM130">
            <v>721.76953125</v>
          </cell>
          <cell r="EN130">
            <v>2</v>
          </cell>
          <cell r="EO130">
            <v>2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32</v>
          </cell>
          <cell r="EX130">
            <v>1</v>
          </cell>
          <cell r="EY130">
            <v>1</v>
          </cell>
          <cell r="EZ130">
            <v>0</v>
          </cell>
          <cell r="FA130">
            <v>70</v>
          </cell>
          <cell r="FB130">
            <v>1</v>
          </cell>
          <cell r="FC130">
            <v>1</v>
          </cell>
          <cell r="FD130">
            <v>0</v>
          </cell>
          <cell r="FE130">
            <v>0</v>
          </cell>
          <cell r="FF130">
            <v>17.829999999999998</v>
          </cell>
          <cell r="FG130">
            <v>17.829986572265625</v>
          </cell>
          <cell r="FH130" t="str">
            <v>С УЛК (ЖЭУ)</v>
          </cell>
          <cell r="FI130">
            <v>43647</v>
          </cell>
          <cell r="FJ130">
            <v>15477</v>
          </cell>
          <cell r="FK130">
            <v>15477</v>
          </cell>
          <cell r="FL130">
            <v>713.3</v>
          </cell>
          <cell r="FM130">
            <v>78.92</v>
          </cell>
          <cell r="FN130">
            <v>1271.1599999999999</v>
          </cell>
          <cell r="FO130">
            <v>3813.4799999999996</v>
          </cell>
        </row>
        <row r="131">
          <cell r="AI131" t="str">
            <v>Ул. Левитана дом 20</v>
          </cell>
          <cell r="AJ131">
            <v>3813.478515625</v>
          </cell>
          <cell r="AK131">
            <v>7791.2</v>
          </cell>
          <cell r="AL131">
            <v>4798.7</v>
          </cell>
          <cell r="AM131">
            <v>4</v>
          </cell>
          <cell r="AN131">
            <v>4</v>
          </cell>
          <cell r="AO131" t="str">
            <v>АО УЖХ Демского района</v>
          </cell>
          <cell r="AP131">
            <v>7526.32</v>
          </cell>
          <cell r="AQ131">
            <v>264.68</v>
          </cell>
          <cell r="AR131">
            <v>0</v>
          </cell>
          <cell r="AS131">
            <v>761.6</v>
          </cell>
          <cell r="AT131">
            <v>144</v>
          </cell>
          <cell r="AU131">
            <v>9</v>
          </cell>
          <cell r="AV131">
            <v>398</v>
          </cell>
          <cell r="AW131">
            <v>0</v>
          </cell>
          <cell r="AX131" t="str">
            <v>отказ от услуги</v>
          </cell>
          <cell r="AY131">
            <v>0</v>
          </cell>
          <cell r="AZ131">
            <v>2770</v>
          </cell>
          <cell r="BA131">
            <v>4807</v>
          </cell>
          <cell r="BB131">
            <v>4807</v>
          </cell>
          <cell r="BC131" t="str">
            <v>Управляющая компания</v>
          </cell>
          <cell r="BD131" t="str">
            <v>1. Жилой дом</v>
          </cell>
          <cell r="BE131">
            <v>35.799999999999997</v>
          </cell>
          <cell r="BF131" t="str">
            <v>2.Чёрный</v>
          </cell>
          <cell r="BG131" t="str">
            <v>2.Чёрный</v>
          </cell>
          <cell r="BH131" t="str">
            <v>3.Водяной</v>
          </cell>
          <cell r="BI131" t="str">
            <v>МУП УИС</v>
          </cell>
          <cell r="BJ131" t="str">
            <v>1. Чугун</v>
          </cell>
          <cell r="BK131">
            <v>4</v>
          </cell>
          <cell r="BL131" t="str">
            <v>2.Кирпич</v>
          </cell>
          <cell r="BM131">
            <v>28856</v>
          </cell>
          <cell r="BN131">
            <v>28856</v>
          </cell>
          <cell r="BO131" t="str">
            <v>Оборудован</v>
          </cell>
          <cell r="BP131" t="str">
            <v>4.Мягк/рулонная</v>
          </cell>
          <cell r="BQ131" t="str">
            <v>2.Плоская</v>
          </cell>
          <cell r="BR131">
            <v>1526.42</v>
          </cell>
          <cell r="BS131">
            <v>1527.6</v>
          </cell>
          <cell r="BT131">
            <v>1527.599609375</v>
          </cell>
          <cell r="BU131">
            <v>1527.599609375</v>
          </cell>
          <cell r="BV131">
            <v>0</v>
          </cell>
          <cell r="BW131" t="str">
            <v>3.Частный жилищный фонд</v>
          </cell>
          <cell r="BX131">
            <v>144</v>
          </cell>
          <cell r="BY131">
            <v>0</v>
          </cell>
          <cell r="BZ131" t="str">
            <v>2-я</v>
          </cell>
          <cell r="CA131">
            <v>1</v>
          </cell>
          <cell r="CB131">
            <v>27.01</v>
          </cell>
          <cell r="CC131">
            <v>27.009994506835938</v>
          </cell>
          <cell r="CD131">
            <v>7791</v>
          </cell>
          <cell r="CE131">
            <v>7791</v>
          </cell>
          <cell r="CF131" t="str">
            <v>ООО "Гранд"</v>
          </cell>
          <cell r="CG131">
            <v>139</v>
          </cell>
          <cell r="CH131">
            <v>5</v>
          </cell>
          <cell r="CI131">
            <v>5</v>
          </cell>
          <cell r="CJ131">
            <v>5</v>
          </cell>
          <cell r="CK131">
            <v>4</v>
          </cell>
          <cell r="CL131">
            <v>1</v>
          </cell>
          <cell r="CM131">
            <v>147</v>
          </cell>
          <cell r="CN131">
            <v>761.6</v>
          </cell>
          <cell r="CO131">
            <v>761.6</v>
          </cell>
          <cell r="CP131">
            <v>2289.1999999999998</v>
          </cell>
          <cell r="CQ131">
            <v>2289.19921875</v>
          </cell>
          <cell r="CR131">
            <v>2289.19921875</v>
          </cell>
          <cell r="CS131">
            <v>3</v>
          </cell>
          <cell r="CT131">
            <v>144</v>
          </cell>
          <cell r="CU131">
            <v>0</v>
          </cell>
          <cell r="CV131">
            <v>124</v>
          </cell>
          <cell r="CW131">
            <v>126</v>
          </cell>
          <cell r="CX131">
            <v>4</v>
          </cell>
          <cell r="CY131">
            <v>4</v>
          </cell>
          <cell r="CZ131">
            <v>39787</v>
          </cell>
          <cell r="DA131" t="str">
            <v>Демский</v>
          </cell>
          <cell r="DB131" t="str">
            <v>3.Сборные ж/б панели</v>
          </cell>
          <cell r="DC131">
            <v>39787</v>
          </cell>
          <cell r="DD131">
            <v>39787</v>
          </cell>
          <cell r="DE131">
            <v>39787</v>
          </cell>
          <cell r="DF131">
            <v>39787</v>
          </cell>
          <cell r="DG131">
            <v>39787</v>
          </cell>
          <cell r="DH131">
            <v>39787</v>
          </cell>
          <cell r="DI131">
            <v>39787</v>
          </cell>
          <cell r="DJ131" t="str">
            <v>АО УЖХ Демского района</v>
          </cell>
          <cell r="DK131">
            <v>39787</v>
          </cell>
          <cell r="DL131">
            <v>39787</v>
          </cell>
          <cell r="DM131">
            <v>5936985</v>
          </cell>
          <cell r="DN131">
            <v>4</v>
          </cell>
          <cell r="DO131" t="str">
            <v>ГВС</v>
          </cell>
          <cell r="DP131" t="str">
            <v>УЖХ</v>
          </cell>
          <cell r="DQ131">
            <v>35597</v>
          </cell>
          <cell r="DR131">
            <v>0</v>
          </cell>
          <cell r="DS131">
            <v>0</v>
          </cell>
          <cell r="DT131">
            <v>144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 t="str">
            <v>3.Зависимая схема</v>
          </cell>
          <cell r="EE131" t="str">
            <v>Верхний</v>
          </cell>
          <cell r="EF131">
            <v>0</v>
          </cell>
          <cell r="EG131">
            <v>0</v>
          </cell>
          <cell r="EH131">
            <v>850</v>
          </cell>
          <cell r="EI131">
            <v>3957</v>
          </cell>
          <cell r="EJ131">
            <v>667</v>
          </cell>
          <cell r="EK131">
            <v>1116</v>
          </cell>
          <cell r="EL131">
            <v>304</v>
          </cell>
          <cell r="EM131">
            <v>670</v>
          </cell>
          <cell r="EN131">
            <v>3</v>
          </cell>
          <cell r="EO131">
            <v>3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13</v>
          </cell>
          <cell r="EX131">
            <v>1</v>
          </cell>
          <cell r="EY131">
            <v>1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17.61</v>
          </cell>
          <cell r="FG131">
            <v>17.6099853515625</v>
          </cell>
          <cell r="FH131">
            <v>17.6099853515625</v>
          </cell>
          <cell r="FI131">
            <v>43466</v>
          </cell>
          <cell r="FJ131">
            <v>15477</v>
          </cell>
          <cell r="FK131">
            <v>15477</v>
          </cell>
          <cell r="FL131">
            <v>10080.4</v>
          </cell>
          <cell r="FM131">
            <v>78.92</v>
          </cell>
          <cell r="FN131">
            <v>3889.44</v>
          </cell>
          <cell r="FO131">
            <v>11668.32</v>
          </cell>
        </row>
        <row r="132">
          <cell r="AI132" t="str">
            <v>Ул. Левитана дом 21</v>
          </cell>
          <cell r="AJ132">
            <v>11668.3125</v>
          </cell>
          <cell r="AK132">
            <v>520.29999999999995</v>
          </cell>
          <cell r="AL132">
            <v>337.3</v>
          </cell>
          <cell r="AM132">
            <v>2</v>
          </cell>
          <cell r="AN132">
            <v>2</v>
          </cell>
          <cell r="AO132" t="str">
            <v>АО УЖХ Демского района</v>
          </cell>
          <cell r="AP132">
            <v>442.8</v>
          </cell>
          <cell r="AQ132">
            <v>73.8</v>
          </cell>
          <cell r="AR132">
            <v>63.8</v>
          </cell>
          <cell r="AS132">
            <v>0</v>
          </cell>
          <cell r="AT132">
            <v>12</v>
          </cell>
          <cell r="AU132">
            <v>2</v>
          </cell>
          <cell r="AV132">
            <v>27</v>
          </cell>
          <cell r="AW132">
            <v>0</v>
          </cell>
          <cell r="AX132">
            <v>0</v>
          </cell>
          <cell r="AY132">
            <v>0</v>
          </cell>
          <cell r="AZ132">
            <v>676.7</v>
          </cell>
          <cell r="BA132">
            <v>858</v>
          </cell>
          <cell r="BB132">
            <v>858</v>
          </cell>
          <cell r="BC132" t="str">
            <v>Непосредственное</v>
          </cell>
          <cell r="BD132" t="str">
            <v>1. Жилой дом</v>
          </cell>
          <cell r="BE132">
            <v>69.400000000000006</v>
          </cell>
          <cell r="BF132" t="str">
            <v>2.Чёрный</v>
          </cell>
          <cell r="BG132">
            <v>69.39996337890625</v>
          </cell>
          <cell r="BH132" t="str">
            <v>3.Водяной</v>
          </cell>
          <cell r="BI132" t="str">
            <v>МУП УИС</v>
          </cell>
          <cell r="BJ132" t="str">
            <v>1. Чугун</v>
          </cell>
          <cell r="BK132">
            <v>69.39996337890625</v>
          </cell>
          <cell r="BL132" t="str">
            <v>2.Кирпич</v>
          </cell>
          <cell r="BM132">
            <v>13516</v>
          </cell>
          <cell r="BN132">
            <v>13516</v>
          </cell>
          <cell r="BO132" t="str">
            <v>Не оборудован</v>
          </cell>
          <cell r="BP132" t="str">
            <v>8.Профнастил</v>
          </cell>
          <cell r="BQ132" t="str">
            <v>1.Скатная</v>
          </cell>
          <cell r="BR132">
            <v>548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 t="str">
            <v>3.Частный жилищный фонд</v>
          </cell>
          <cell r="BX132">
            <v>12</v>
          </cell>
          <cell r="BY132">
            <v>0</v>
          </cell>
          <cell r="BZ132" t="str">
            <v>2-я</v>
          </cell>
          <cell r="CA132">
            <v>1</v>
          </cell>
          <cell r="CB132">
            <v>27.01</v>
          </cell>
          <cell r="CC132">
            <v>1</v>
          </cell>
          <cell r="CD132">
            <v>1</v>
          </cell>
          <cell r="CE132">
            <v>1</v>
          </cell>
          <cell r="CF132" t="str">
            <v>ООО "Гранд"</v>
          </cell>
          <cell r="CG132">
            <v>10</v>
          </cell>
          <cell r="CH132">
            <v>2</v>
          </cell>
          <cell r="CI132">
            <v>2</v>
          </cell>
          <cell r="CJ132">
            <v>2</v>
          </cell>
          <cell r="CK132">
            <v>0</v>
          </cell>
          <cell r="CL132">
            <v>0</v>
          </cell>
          <cell r="CM132">
            <v>12</v>
          </cell>
          <cell r="CN132">
            <v>63.8</v>
          </cell>
          <cell r="CO132">
            <v>0</v>
          </cell>
          <cell r="CP132">
            <v>63.8</v>
          </cell>
          <cell r="CQ132">
            <v>63.79998779296875</v>
          </cell>
          <cell r="CR132">
            <v>63.79998779296875</v>
          </cell>
          <cell r="CS132">
            <v>0</v>
          </cell>
          <cell r="CT132">
            <v>12</v>
          </cell>
          <cell r="CU132">
            <v>0</v>
          </cell>
          <cell r="CV132">
            <v>0</v>
          </cell>
          <cell r="CW132">
            <v>0</v>
          </cell>
          <cell r="CX132">
            <v>1</v>
          </cell>
          <cell r="CY132">
            <v>1</v>
          </cell>
          <cell r="CZ132">
            <v>2571</v>
          </cell>
          <cell r="DA132" t="str">
            <v>Демский</v>
          </cell>
          <cell r="DB132" t="str">
            <v>2.Деревянные</v>
          </cell>
          <cell r="DC132">
            <v>2571</v>
          </cell>
          <cell r="DD132">
            <v>2571</v>
          </cell>
          <cell r="DE132">
            <v>2571</v>
          </cell>
          <cell r="DF132">
            <v>2571</v>
          </cell>
          <cell r="DG132">
            <v>2571</v>
          </cell>
          <cell r="DH132">
            <v>2571</v>
          </cell>
          <cell r="DI132">
            <v>2571</v>
          </cell>
          <cell r="DJ132">
            <v>2571</v>
          </cell>
          <cell r="DK132">
            <v>0</v>
          </cell>
          <cell r="DL132">
            <v>0</v>
          </cell>
          <cell r="DM132">
            <v>948424</v>
          </cell>
          <cell r="DN132">
            <v>0</v>
          </cell>
          <cell r="DO132">
            <v>0</v>
          </cell>
          <cell r="DP132" t="str">
            <v>УЖХ</v>
          </cell>
          <cell r="DQ132">
            <v>35691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 t="str">
            <v>3.Зависимая схема</v>
          </cell>
          <cell r="EE132" t="str">
            <v>Верхний</v>
          </cell>
          <cell r="EF132">
            <v>0</v>
          </cell>
          <cell r="EG132">
            <v>0</v>
          </cell>
          <cell r="EH132">
            <v>0</v>
          </cell>
          <cell r="EI132">
            <v>858</v>
          </cell>
          <cell r="EJ132">
            <v>299</v>
          </cell>
          <cell r="EK132">
            <v>272.7</v>
          </cell>
          <cell r="EL132">
            <v>272.699951171875</v>
          </cell>
          <cell r="EM132">
            <v>33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72</v>
          </cell>
          <cell r="FB132">
            <v>1</v>
          </cell>
          <cell r="FC132">
            <v>1</v>
          </cell>
          <cell r="FD132">
            <v>0</v>
          </cell>
          <cell r="FE132">
            <v>0</v>
          </cell>
          <cell r="FF132">
            <v>17.82</v>
          </cell>
          <cell r="FG132">
            <v>17.819992065429688</v>
          </cell>
          <cell r="FH132" t="str">
            <v>С УЛК (ЖЭУ)</v>
          </cell>
          <cell r="FI132">
            <v>43647</v>
          </cell>
          <cell r="FJ132">
            <v>15477</v>
          </cell>
          <cell r="FK132">
            <v>11108</v>
          </cell>
          <cell r="FL132">
            <v>584.1</v>
          </cell>
          <cell r="FM132">
            <v>78.92</v>
          </cell>
          <cell r="FN132">
            <v>1271.1599999999999</v>
          </cell>
          <cell r="FO132">
            <v>3813.4799999999996</v>
          </cell>
        </row>
        <row r="133">
          <cell r="AI133" t="str">
            <v>Ул. Туринская дом 2/б</v>
          </cell>
          <cell r="AJ133">
            <v>3813.478515625</v>
          </cell>
          <cell r="AK133">
            <v>274.10000000000002</v>
          </cell>
          <cell r="AL133">
            <v>188</v>
          </cell>
          <cell r="AM133">
            <v>1</v>
          </cell>
          <cell r="AN133">
            <v>1</v>
          </cell>
          <cell r="AO133" t="str">
            <v>АО УЖХ Демского района</v>
          </cell>
          <cell r="AP133">
            <v>237.9</v>
          </cell>
          <cell r="AQ133">
            <v>37.4</v>
          </cell>
          <cell r="AR133">
            <v>17.5</v>
          </cell>
          <cell r="AS133">
            <v>4.9000000000000004</v>
          </cell>
          <cell r="AT133">
            <v>8</v>
          </cell>
          <cell r="AU133">
            <v>2</v>
          </cell>
          <cell r="AV133">
            <v>7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855.6</v>
          </cell>
          <cell r="BB133" t="str">
            <v>Пост №911 от 24.07.2020</v>
          </cell>
          <cell r="BC133" t="str">
            <v>Непосредственное</v>
          </cell>
          <cell r="BD133" t="str">
            <v>1. Жилой дом</v>
          </cell>
          <cell r="BE133">
            <v>52.6</v>
          </cell>
          <cell r="BF133" t="str">
            <v>4.Колонка уличная</v>
          </cell>
          <cell r="BG133">
            <v>52.5999755859375</v>
          </cell>
          <cell r="BH133" t="str">
            <v>3.Водяной</v>
          </cell>
          <cell r="BI133" t="str">
            <v>МУП УИС</v>
          </cell>
          <cell r="BJ133" t="str">
            <v>2. ПВХ</v>
          </cell>
          <cell r="BK133">
            <v>52.5999755859375</v>
          </cell>
          <cell r="BL133" t="str">
            <v>2.Кирпич</v>
          </cell>
          <cell r="BM133">
            <v>21186</v>
          </cell>
          <cell r="BN133">
            <v>21186</v>
          </cell>
          <cell r="BO133" t="str">
            <v>Не оборудован</v>
          </cell>
          <cell r="BP133" t="str">
            <v>1.Абсоцемент(шифер)</v>
          </cell>
          <cell r="BQ133" t="str">
            <v>1.Скатная</v>
          </cell>
          <cell r="BR133">
            <v>178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 t="str">
            <v>3.Частный жилищный фонд</v>
          </cell>
          <cell r="BX133">
            <v>8</v>
          </cell>
          <cell r="BY133">
            <v>0</v>
          </cell>
          <cell r="BZ133" t="str">
            <v>2-я</v>
          </cell>
          <cell r="CA133">
            <v>1</v>
          </cell>
          <cell r="CB133">
            <v>27.01</v>
          </cell>
          <cell r="CC133">
            <v>27.009994506835938</v>
          </cell>
          <cell r="CD133">
            <v>27.009994506835938</v>
          </cell>
          <cell r="CE133">
            <v>27.009994506835938</v>
          </cell>
          <cell r="CF133" t="str">
            <v>ООО "Дёма Комфорт"</v>
          </cell>
          <cell r="CG133">
            <v>7</v>
          </cell>
          <cell r="CH133">
            <v>1</v>
          </cell>
          <cell r="CI133">
            <v>1</v>
          </cell>
          <cell r="CJ133">
            <v>1</v>
          </cell>
          <cell r="CK133">
            <v>0</v>
          </cell>
          <cell r="CL133">
            <v>0</v>
          </cell>
          <cell r="CM133">
            <v>8</v>
          </cell>
          <cell r="CN133">
            <v>22.4</v>
          </cell>
          <cell r="CO133">
            <v>0</v>
          </cell>
          <cell r="CP133">
            <v>22.4</v>
          </cell>
          <cell r="CQ133">
            <v>22.399993896484375</v>
          </cell>
          <cell r="CR133">
            <v>22.399993896484375</v>
          </cell>
          <cell r="CS133">
            <v>0</v>
          </cell>
          <cell r="CT133">
            <v>8</v>
          </cell>
          <cell r="CU133">
            <v>0</v>
          </cell>
          <cell r="CV133">
            <v>0</v>
          </cell>
          <cell r="CW133">
            <v>0</v>
          </cell>
          <cell r="CX133">
            <v>1</v>
          </cell>
          <cell r="CY133">
            <v>0</v>
          </cell>
          <cell r="CZ133">
            <v>1192</v>
          </cell>
          <cell r="DA133" t="str">
            <v>Демский</v>
          </cell>
          <cell r="DB133" t="str">
            <v>2.Деревянные</v>
          </cell>
          <cell r="DC133">
            <v>1192</v>
          </cell>
          <cell r="DD133">
            <v>1192</v>
          </cell>
          <cell r="DE133">
            <v>1192</v>
          </cell>
          <cell r="DF133">
            <v>1192</v>
          </cell>
          <cell r="DG133">
            <v>1192</v>
          </cell>
          <cell r="DH133">
            <v>1192</v>
          </cell>
          <cell r="DI133">
            <v>1192</v>
          </cell>
          <cell r="DJ133">
            <v>1192</v>
          </cell>
          <cell r="DK133">
            <v>0</v>
          </cell>
          <cell r="DL133">
            <v>0</v>
          </cell>
          <cell r="DM133">
            <v>164346</v>
          </cell>
          <cell r="DN133">
            <v>0</v>
          </cell>
          <cell r="DO133">
            <v>0</v>
          </cell>
          <cell r="DP133" t="str">
            <v>УЖХ</v>
          </cell>
          <cell r="DQ133">
            <v>39507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  <cell r="EB133">
            <v>1</v>
          </cell>
          <cell r="EC133">
            <v>0</v>
          </cell>
          <cell r="ED133" t="str">
            <v>4. Независимая схема</v>
          </cell>
          <cell r="EE133" t="str">
            <v>Нижний</v>
          </cell>
          <cell r="EF133">
            <v>0</v>
          </cell>
          <cell r="EG133">
            <v>0</v>
          </cell>
          <cell r="EH133">
            <v>0</v>
          </cell>
          <cell r="EI133">
            <v>855.6</v>
          </cell>
          <cell r="EJ133">
            <v>855.599609375</v>
          </cell>
          <cell r="EK133">
            <v>855.599609375</v>
          </cell>
          <cell r="EL133">
            <v>855.599609375</v>
          </cell>
          <cell r="EM133">
            <v>855.599609375</v>
          </cell>
          <cell r="EN133">
            <v>0</v>
          </cell>
          <cell r="EO133">
            <v>0</v>
          </cell>
          <cell r="EP133">
            <v>0</v>
          </cell>
          <cell r="EQ133">
            <v>0</v>
          </cell>
          <cell r="ER133">
            <v>0</v>
          </cell>
          <cell r="ES133">
            <v>0</v>
          </cell>
          <cell r="ET133">
            <v>0</v>
          </cell>
          <cell r="EU133">
            <v>0</v>
          </cell>
          <cell r="EV133">
            <v>0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18.059999999999999</v>
          </cell>
          <cell r="FG133">
            <v>18.05999755859375</v>
          </cell>
          <cell r="FH133" t="str">
            <v>С УЛК (ЖЭУ)</v>
          </cell>
          <cell r="FI133">
            <v>43647</v>
          </cell>
          <cell r="FJ133">
            <v>15477</v>
          </cell>
          <cell r="FK133">
            <v>11109</v>
          </cell>
          <cell r="FL133">
            <v>296.5</v>
          </cell>
          <cell r="FM133">
            <v>78.92</v>
          </cell>
          <cell r="FN133">
            <v>216.08</v>
          </cell>
          <cell r="FO133">
            <v>648.24</v>
          </cell>
        </row>
        <row r="134">
          <cell r="AI134" t="str">
            <v>Ул. Левитана дом 21/а</v>
          </cell>
          <cell r="AJ134">
            <v>648.23974609375</v>
          </cell>
          <cell r="AK134">
            <v>1126.5999999999999</v>
          </cell>
          <cell r="AL134">
            <v>663.9</v>
          </cell>
          <cell r="AM134">
            <v>2</v>
          </cell>
          <cell r="AN134">
            <v>2</v>
          </cell>
          <cell r="AO134" t="str">
            <v>АО УЖХ Демского района</v>
          </cell>
          <cell r="AP134">
            <v>1060.9000000000001</v>
          </cell>
          <cell r="AQ134">
            <v>65.7</v>
          </cell>
          <cell r="AR134">
            <v>134</v>
          </cell>
          <cell r="AS134">
            <v>34.700000000000003</v>
          </cell>
          <cell r="AT134">
            <v>20</v>
          </cell>
          <cell r="AU134">
            <v>5</v>
          </cell>
          <cell r="AV134">
            <v>52</v>
          </cell>
          <cell r="AW134">
            <v>0</v>
          </cell>
          <cell r="AX134">
            <v>0</v>
          </cell>
          <cell r="AY134">
            <v>0</v>
          </cell>
          <cell r="AZ134">
            <v>471.5</v>
          </cell>
          <cell r="BA134">
            <v>203.7</v>
          </cell>
          <cell r="BB134">
            <v>203.699951171875</v>
          </cell>
          <cell r="BC134" t="str">
            <v>Управляющая компания</v>
          </cell>
          <cell r="BD134" t="str">
            <v>1. Жилой дом</v>
          </cell>
          <cell r="BE134">
            <v>31</v>
          </cell>
          <cell r="BF134" t="str">
            <v>2.Чёрный</v>
          </cell>
          <cell r="BG134">
            <v>31</v>
          </cell>
          <cell r="BH134" t="str">
            <v>3.Водяной</v>
          </cell>
          <cell r="BI134" t="str">
            <v>МУП УИС</v>
          </cell>
          <cell r="BJ134" t="str">
            <v>1. Чугун</v>
          </cell>
          <cell r="BK134">
            <v>31</v>
          </cell>
          <cell r="BL134" t="str">
            <v>2.Кирпич</v>
          </cell>
          <cell r="BM134">
            <v>31048</v>
          </cell>
          <cell r="BN134">
            <v>20</v>
          </cell>
          <cell r="BO134" t="str">
            <v>Оборудован</v>
          </cell>
          <cell r="BP134" t="str">
            <v>4.Мягк/рулонная</v>
          </cell>
          <cell r="BQ134" t="str">
            <v>2.Плоская</v>
          </cell>
          <cell r="BR134">
            <v>426</v>
          </cell>
          <cell r="BS134">
            <v>370.5</v>
          </cell>
          <cell r="BT134">
            <v>370.5</v>
          </cell>
          <cell r="BU134">
            <v>370.5</v>
          </cell>
          <cell r="BV134">
            <v>0</v>
          </cell>
          <cell r="BW134" t="str">
            <v>3.Частный жилищный фонд</v>
          </cell>
          <cell r="BX134">
            <v>20</v>
          </cell>
          <cell r="BY134">
            <v>0</v>
          </cell>
          <cell r="BZ134" t="str">
            <v>2-я</v>
          </cell>
          <cell r="CA134">
            <v>1</v>
          </cell>
          <cell r="CB134">
            <v>27.01</v>
          </cell>
          <cell r="CC134">
            <v>1</v>
          </cell>
          <cell r="CD134">
            <v>1</v>
          </cell>
          <cell r="CE134">
            <v>1126.5999999999999</v>
          </cell>
          <cell r="CF134" t="str">
            <v>ООО "Гранд"</v>
          </cell>
          <cell r="CG134">
            <v>19</v>
          </cell>
          <cell r="CH134">
            <v>1</v>
          </cell>
          <cell r="CI134">
            <v>1</v>
          </cell>
          <cell r="CJ134">
            <v>1</v>
          </cell>
          <cell r="CK134">
            <v>0</v>
          </cell>
          <cell r="CL134">
            <v>0</v>
          </cell>
          <cell r="CM134">
            <v>21</v>
          </cell>
          <cell r="CN134">
            <v>168.7</v>
          </cell>
          <cell r="CO134">
            <v>0</v>
          </cell>
          <cell r="CP134">
            <v>539.20000000000005</v>
          </cell>
          <cell r="CQ134">
            <v>539.19970703125</v>
          </cell>
          <cell r="CR134">
            <v>539.19970703125</v>
          </cell>
          <cell r="CS134">
            <v>1</v>
          </cell>
          <cell r="CT134">
            <v>20</v>
          </cell>
          <cell r="CU134">
            <v>0</v>
          </cell>
          <cell r="CV134">
            <v>18</v>
          </cell>
          <cell r="CW134">
            <v>0</v>
          </cell>
          <cell r="CX134">
            <v>1</v>
          </cell>
          <cell r="CY134">
            <v>1</v>
          </cell>
          <cell r="CZ134">
            <v>5429</v>
          </cell>
          <cell r="DA134" t="str">
            <v>Демский</v>
          </cell>
          <cell r="DB134" t="str">
            <v>3.Сборные ж/б панели</v>
          </cell>
          <cell r="DC134">
            <v>5429</v>
          </cell>
          <cell r="DD134">
            <v>5429</v>
          </cell>
          <cell r="DE134">
            <v>5429</v>
          </cell>
          <cell r="DF134">
            <v>5429</v>
          </cell>
          <cell r="DG134">
            <v>5429</v>
          </cell>
          <cell r="DH134">
            <v>5429</v>
          </cell>
          <cell r="DI134">
            <v>5429</v>
          </cell>
          <cell r="DJ134">
            <v>5429</v>
          </cell>
          <cell r="DK134">
            <v>0</v>
          </cell>
          <cell r="DL134">
            <v>0</v>
          </cell>
          <cell r="DM134">
            <v>2376034</v>
          </cell>
          <cell r="DN134">
            <v>2</v>
          </cell>
          <cell r="DO134">
            <v>2</v>
          </cell>
          <cell r="DP134" t="str">
            <v>УЖХ</v>
          </cell>
          <cell r="DQ134">
            <v>35597</v>
          </cell>
          <cell r="DR134">
            <v>0</v>
          </cell>
          <cell r="DS134">
            <v>20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 t="str">
            <v>3.Зависимая схема</v>
          </cell>
          <cell r="EE134" t="str">
            <v>Нижний</v>
          </cell>
          <cell r="EF134">
            <v>0</v>
          </cell>
          <cell r="EG134">
            <v>0</v>
          </cell>
          <cell r="EH134">
            <v>0</v>
          </cell>
          <cell r="EI134">
            <v>203.7</v>
          </cell>
          <cell r="EJ134">
            <v>144.80000000000001</v>
          </cell>
          <cell r="EK134">
            <v>321.7</v>
          </cell>
          <cell r="EL134">
            <v>321.699951171875</v>
          </cell>
          <cell r="EM134">
            <v>5</v>
          </cell>
          <cell r="EN134">
            <v>0</v>
          </cell>
          <cell r="EO134">
            <v>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T134">
            <v>0</v>
          </cell>
          <cell r="EU134">
            <v>0</v>
          </cell>
          <cell r="EV134">
            <v>0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18</v>
          </cell>
          <cell r="FG134">
            <v>2</v>
          </cell>
          <cell r="FH134">
            <v>2</v>
          </cell>
          <cell r="FI134">
            <v>43668</v>
          </cell>
          <cell r="FJ134">
            <v>15477</v>
          </cell>
          <cell r="FK134">
            <v>15477</v>
          </cell>
          <cell r="FL134">
            <v>1665.8</v>
          </cell>
          <cell r="FM134">
            <v>78.92</v>
          </cell>
          <cell r="FN134">
            <v>2118.6000000000004</v>
          </cell>
          <cell r="FO134">
            <v>6355.8000000000011</v>
          </cell>
        </row>
        <row r="135">
          <cell r="AI135" t="str">
            <v>Ул. Левитана дом 22</v>
          </cell>
          <cell r="AJ135">
            <v>6355.796875</v>
          </cell>
          <cell r="AK135">
            <v>7769.2</v>
          </cell>
          <cell r="AL135">
            <v>4817.7</v>
          </cell>
          <cell r="AM135">
            <v>4</v>
          </cell>
          <cell r="AN135">
            <v>4</v>
          </cell>
          <cell r="AO135" t="str">
            <v>АО УЖХ Демского района</v>
          </cell>
          <cell r="AP135">
            <v>7492.3</v>
          </cell>
          <cell r="AQ135">
            <v>276.7</v>
          </cell>
          <cell r="AR135">
            <v>304.89999999999998</v>
          </cell>
          <cell r="AS135">
            <v>702.3</v>
          </cell>
          <cell r="AT135">
            <v>144</v>
          </cell>
          <cell r="AU135">
            <v>9</v>
          </cell>
          <cell r="AV135">
            <v>361</v>
          </cell>
          <cell r="AW135">
            <v>361</v>
          </cell>
          <cell r="AX135" t="str">
            <v>отказ от услуги</v>
          </cell>
          <cell r="AY135">
            <v>361</v>
          </cell>
          <cell r="AZ135">
            <v>2305.3000000000002</v>
          </cell>
          <cell r="BA135">
            <v>1967.9</v>
          </cell>
          <cell r="BB135">
            <v>1967.8994140625</v>
          </cell>
          <cell r="BC135" t="str">
            <v>Управляющая компания</v>
          </cell>
          <cell r="BD135" t="str">
            <v>1. Жилой дом</v>
          </cell>
          <cell r="BE135">
            <v>34.200000000000003</v>
          </cell>
          <cell r="BF135" t="str">
            <v>2.Чёрный</v>
          </cell>
          <cell r="BG135" t="str">
            <v>2.Чёрный</v>
          </cell>
          <cell r="BH135" t="str">
            <v>3.Водяной</v>
          </cell>
          <cell r="BI135" t="str">
            <v>МУП УИС</v>
          </cell>
          <cell r="BJ135" t="str">
            <v>1. Чугун</v>
          </cell>
          <cell r="BK135">
            <v>4</v>
          </cell>
          <cell r="BL135" t="str">
            <v>2.Кирпич</v>
          </cell>
          <cell r="BM135">
            <v>29587</v>
          </cell>
          <cell r="BN135">
            <v>29587</v>
          </cell>
          <cell r="BO135" t="str">
            <v>Оборудован</v>
          </cell>
          <cell r="BP135" t="str">
            <v>4.Мягк/рулонная</v>
          </cell>
          <cell r="BQ135" t="str">
            <v>2.Плоская</v>
          </cell>
          <cell r="BR135">
            <v>1430</v>
          </cell>
          <cell r="BS135">
            <v>1530</v>
          </cell>
          <cell r="BT135">
            <v>1530</v>
          </cell>
          <cell r="BU135">
            <v>1530</v>
          </cell>
          <cell r="BV135">
            <v>0</v>
          </cell>
          <cell r="BW135" t="str">
            <v>3.Частный жилищный фонд</v>
          </cell>
          <cell r="BX135">
            <v>144</v>
          </cell>
          <cell r="BY135">
            <v>0</v>
          </cell>
          <cell r="BZ135" t="str">
            <v>2-я</v>
          </cell>
          <cell r="CA135">
            <v>1</v>
          </cell>
          <cell r="CB135">
            <v>27.01</v>
          </cell>
          <cell r="CC135">
            <v>27.009994506835938</v>
          </cell>
          <cell r="CD135">
            <v>7769</v>
          </cell>
          <cell r="CE135">
            <v>7769</v>
          </cell>
          <cell r="CF135" t="str">
            <v>ООО "Гранд"</v>
          </cell>
          <cell r="CG135">
            <v>139</v>
          </cell>
          <cell r="CH135">
            <v>5</v>
          </cell>
          <cell r="CI135">
            <v>5</v>
          </cell>
          <cell r="CJ135">
            <v>5</v>
          </cell>
          <cell r="CK135">
            <v>0</v>
          </cell>
          <cell r="CL135">
            <v>1</v>
          </cell>
          <cell r="CM135">
            <v>147</v>
          </cell>
          <cell r="CN135">
            <v>1007.2</v>
          </cell>
          <cell r="CO135">
            <v>1007.2</v>
          </cell>
          <cell r="CP135">
            <v>2537.1999999999998</v>
          </cell>
          <cell r="CQ135">
            <v>2537.19921875</v>
          </cell>
          <cell r="CR135">
            <v>2537.19921875</v>
          </cell>
          <cell r="CS135">
            <v>4</v>
          </cell>
          <cell r="CT135">
            <v>144</v>
          </cell>
          <cell r="CU135">
            <v>0</v>
          </cell>
          <cell r="CV135">
            <v>113</v>
          </cell>
          <cell r="CW135">
            <v>118</v>
          </cell>
          <cell r="CX135">
            <v>4</v>
          </cell>
          <cell r="CY135">
            <v>4</v>
          </cell>
          <cell r="CZ135">
            <v>39196</v>
          </cell>
          <cell r="DA135" t="str">
            <v>Демский</v>
          </cell>
          <cell r="DB135" t="str">
            <v>3.Сборные ж/б панели</v>
          </cell>
          <cell r="DC135">
            <v>39196</v>
          </cell>
          <cell r="DD135">
            <v>39196</v>
          </cell>
          <cell r="DE135">
            <v>39196</v>
          </cell>
          <cell r="DF135">
            <v>39196</v>
          </cell>
          <cell r="DG135">
            <v>39196</v>
          </cell>
          <cell r="DH135">
            <v>39196</v>
          </cell>
          <cell r="DI135">
            <v>39196</v>
          </cell>
          <cell r="DJ135" t="str">
            <v>АО УЖХ Демского района</v>
          </cell>
          <cell r="DK135">
            <v>39196</v>
          </cell>
          <cell r="DL135">
            <v>39196</v>
          </cell>
          <cell r="DM135">
            <v>10993114</v>
          </cell>
          <cell r="DN135">
            <v>4</v>
          </cell>
          <cell r="DO135" t="str">
            <v>ГВС</v>
          </cell>
          <cell r="DP135" t="str">
            <v>УЖХ</v>
          </cell>
          <cell r="DQ135">
            <v>35751</v>
          </cell>
          <cell r="DR135">
            <v>0</v>
          </cell>
          <cell r="DS135">
            <v>144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0</v>
          </cell>
          <cell r="EC135">
            <v>0</v>
          </cell>
          <cell r="ED135" t="str">
            <v>4. Независимая схема</v>
          </cell>
          <cell r="EE135" t="str">
            <v>Верхний</v>
          </cell>
          <cell r="EF135">
            <v>0</v>
          </cell>
          <cell r="EG135">
            <v>0</v>
          </cell>
          <cell r="EH135">
            <v>0</v>
          </cell>
          <cell r="EI135">
            <v>1662.9</v>
          </cell>
          <cell r="EJ135">
            <v>467.5</v>
          </cell>
          <cell r="EK135">
            <v>998.7</v>
          </cell>
          <cell r="EL135">
            <v>998.69970703125</v>
          </cell>
          <cell r="EM135">
            <v>756.5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0</v>
          </cell>
          <cell r="ES135">
            <v>0</v>
          </cell>
          <cell r="ET135">
            <v>0</v>
          </cell>
          <cell r="EU135">
            <v>305</v>
          </cell>
          <cell r="EV135">
            <v>1</v>
          </cell>
          <cell r="EW135">
            <v>1</v>
          </cell>
          <cell r="EX135">
            <v>0</v>
          </cell>
          <cell r="EY135">
            <v>0</v>
          </cell>
          <cell r="EZ135">
            <v>0</v>
          </cell>
          <cell r="FA135">
            <v>82.6</v>
          </cell>
          <cell r="FB135">
            <v>1</v>
          </cell>
          <cell r="FC135">
            <v>1</v>
          </cell>
          <cell r="FD135">
            <v>0</v>
          </cell>
          <cell r="FE135">
            <v>0</v>
          </cell>
          <cell r="FF135">
            <v>16.649999999999999</v>
          </cell>
          <cell r="FG135">
            <v>16.649993896484375</v>
          </cell>
          <cell r="FH135">
            <v>16.649993896484375</v>
          </cell>
          <cell r="FI135">
            <v>43466</v>
          </cell>
          <cell r="FJ135">
            <v>15477</v>
          </cell>
          <cell r="FK135">
            <v>15477</v>
          </cell>
          <cell r="FL135">
            <v>10758.4</v>
          </cell>
          <cell r="FM135">
            <v>78.92</v>
          </cell>
          <cell r="FN135">
            <v>3889.44</v>
          </cell>
          <cell r="FO135">
            <v>11668.32</v>
          </cell>
        </row>
        <row r="136">
          <cell r="AI136" t="str">
            <v>Ул. Левитана дом 22/2</v>
          </cell>
          <cell r="AJ136">
            <v>11668.3125</v>
          </cell>
          <cell r="AK136">
            <v>3381.9</v>
          </cell>
          <cell r="AL136">
            <v>2291.4</v>
          </cell>
          <cell r="AM136">
            <v>4</v>
          </cell>
          <cell r="AN136">
            <v>4</v>
          </cell>
          <cell r="AO136" t="str">
            <v>АО УЖХ Демского района</v>
          </cell>
          <cell r="AP136">
            <v>3336.5</v>
          </cell>
          <cell r="AQ136">
            <v>44.8</v>
          </cell>
          <cell r="AR136">
            <v>290</v>
          </cell>
          <cell r="AS136">
            <v>0</v>
          </cell>
          <cell r="AT136">
            <v>70</v>
          </cell>
          <cell r="AU136">
            <v>5</v>
          </cell>
          <cell r="AV136">
            <v>180</v>
          </cell>
          <cell r="AW136">
            <v>0</v>
          </cell>
          <cell r="AX136">
            <v>0</v>
          </cell>
          <cell r="AY136">
            <v>0</v>
          </cell>
          <cell r="AZ136">
            <v>1441.2</v>
          </cell>
          <cell r="BA136">
            <v>3503</v>
          </cell>
          <cell r="BB136">
            <v>3503</v>
          </cell>
          <cell r="BC136" t="str">
            <v>Управляющая компания</v>
          </cell>
          <cell r="BD136" t="str">
            <v>1. Жилой дом</v>
          </cell>
          <cell r="BE136">
            <v>36.6</v>
          </cell>
          <cell r="BF136" t="str">
            <v>2.Чёрный</v>
          </cell>
          <cell r="BG136" t="str">
            <v>2.Чёрный</v>
          </cell>
          <cell r="BH136" t="str">
            <v>3.Водяной</v>
          </cell>
          <cell r="BI136" t="str">
            <v>МУП УИС</v>
          </cell>
          <cell r="BJ136" t="str">
            <v>1. Чугун</v>
          </cell>
          <cell r="BK136">
            <v>36.5999755859375</v>
          </cell>
          <cell r="BL136" t="str">
            <v>2.Кирпич</v>
          </cell>
          <cell r="BM136">
            <v>28491</v>
          </cell>
          <cell r="BN136">
            <v>28491</v>
          </cell>
          <cell r="BO136" t="str">
            <v>Оборудован</v>
          </cell>
          <cell r="BP136" t="str">
            <v>2.Лист железный</v>
          </cell>
          <cell r="BQ136" t="str">
            <v>1.Скатная</v>
          </cell>
          <cell r="BR136">
            <v>900</v>
          </cell>
          <cell r="BS136">
            <v>936.5</v>
          </cell>
          <cell r="BT136">
            <v>936.5</v>
          </cell>
          <cell r="BU136">
            <v>936.5</v>
          </cell>
          <cell r="BV136">
            <v>0</v>
          </cell>
          <cell r="BW136" t="str">
            <v>3.Частный жилищный фонд</v>
          </cell>
          <cell r="BX136">
            <v>70</v>
          </cell>
          <cell r="BY136">
            <v>0</v>
          </cell>
          <cell r="BZ136" t="str">
            <v>2-я</v>
          </cell>
          <cell r="CA136">
            <v>1</v>
          </cell>
          <cell r="CB136">
            <v>27.01</v>
          </cell>
          <cell r="CC136">
            <v>27.009994506835938</v>
          </cell>
          <cell r="CD136">
            <v>3381.3</v>
          </cell>
          <cell r="CE136">
            <v>3381.298828125</v>
          </cell>
          <cell r="CF136" t="str">
            <v>ООО "Гранд"</v>
          </cell>
          <cell r="CG136">
            <v>69</v>
          </cell>
          <cell r="CH136">
            <v>1</v>
          </cell>
          <cell r="CI136">
            <v>1</v>
          </cell>
          <cell r="CJ136">
            <v>1</v>
          </cell>
          <cell r="CK136">
            <v>0</v>
          </cell>
          <cell r="CL136">
            <v>1</v>
          </cell>
          <cell r="CM136">
            <v>70</v>
          </cell>
          <cell r="CN136">
            <v>290</v>
          </cell>
          <cell r="CO136">
            <v>290</v>
          </cell>
          <cell r="CP136">
            <v>1226.5</v>
          </cell>
          <cell r="CQ136">
            <v>1226.5</v>
          </cell>
          <cell r="CR136">
            <v>1226.5</v>
          </cell>
          <cell r="CS136">
            <v>1</v>
          </cell>
          <cell r="CT136">
            <v>70</v>
          </cell>
          <cell r="CU136">
            <v>0</v>
          </cell>
          <cell r="CV136">
            <v>58</v>
          </cell>
          <cell r="CW136">
            <v>61</v>
          </cell>
          <cell r="CX136">
            <v>0</v>
          </cell>
          <cell r="CY136">
            <v>0</v>
          </cell>
          <cell r="CZ136">
            <v>13299</v>
          </cell>
          <cell r="DA136" t="str">
            <v>Демский</v>
          </cell>
          <cell r="DB136" t="str">
            <v>3.Сборные ж/б панели</v>
          </cell>
          <cell r="DC136">
            <v>13299</v>
          </cell>
          <cell r="DD136">
            <v>13299</v>
          </cell>
          <cell r="DE136">
            <v>13299</v>
          </cell>
          <cell r="DF136">
            <v>13299</v>
          </cell>
          <cell r="DG136">
            <v>13299</v>
          </cell>
          <cell r="DH136">
            <v>13299</v>
          </cell>
          <cell r="DI136">
            <v>13299</v>
          </cell>
          <cell r="DJ136">
            <v>13299</v>
          </cell>
          <cell r="DK136">
            <v>13299</v>
          </cell>
          <cell r="DL136">
            <v>13299</v>
          </cell>
          <cell r="DM136">
            <v>6046719</v>
          </cell>
          <cell r="DN136">
            <v>3</v>
          </cell>
          <cell r="DO136" t="str">
            <v>Отопление</v>
          </cell>
          <cell r="DP136" t="str">
            <v>УЖХ</v>
          </cell>
          <cell r="DQ136">
            <v>35660</v>
          </cell>
          <cell r="DR136">
            <v>0</v>
          </cell>
          <cell r="DS136">
            <v>70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 t="str">
            <v>4. Независимая схема</v>
          </cell>
          <cell r="EE136" t="str">
            <v>Нижний</v>
          </cell>
          <cell r="EF136">
            <v>0</v>
          </cell>
          <cell r="EG136">
            <v>0</v>
          </cell>
          <cell r="EH136">
            <v>80</v>
          </cell>
          <cell r="EI136">
            <v>3388</v>
          </cell>
          <cell r="EJ136">
            <v>243</v>
          </cell>
          <cell r="EK136">
            <v>1145.9000000000001</v>
          </cell>
          <cell r="EL136">
            <v>1145.8994140625</v>
          </cell>
          <cell r="EM136">
            <v>35</v>
          </cell>
          <cell r="EN136">
            <v>4</v>
          </cell>
          <cell r="EO136">
            <v>4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T136">
            <v>0</v>
          </cell>
          <cell r="EU136">
            <v>0</v>
          </cell>
          <cell r="EV136">
            <v>0</v>
          </cell>
          <cell r="EW136">
            <v>17.3</v>
          </cell>
          <cell r="EX136">
            <v>1</v>
          </cell>
          <cell r="EY136">
            <v>1</v>
          </cell>
          <cell r="EZ136">
            <v>0</v>
          </cell>
          <cell r="FA136">
            <v>0</v>
          </cell>
          <cell r="FB136">
            <v>0</v>
          </cell>
          <cell r="FC136">
            <v>35</v>
          </cell>
          <cell r="FD136">
            <v>1</v>
          </cell>
          <cell r="FE136">
            <v>1</v>
          </cell>
          <cell r="FF136">
            <v>13.54</v>
          </cell>
          <cell r="FG136">
            <v>2</v>
          </cell>
          <cell r="FH136">
            <v>2</v>
          </cell>
          <cell r="FI136">
            <v>43466</v>
          </cell>
          <cell r="FJ136">
            <v>15477</v>
          </cell>
          <cell r="FK136">
            <v>15477</v>
          </cell>
          <cell r="FL136">
            <v>4608.3999999999996</v>
          </cell>
          <cell r="FM136">
            <v>78.92</v>
          </cell>
          <cell r="FN136">
            <v>1890.7</v>
          </cell>
          <cell r="FO136">
            <v>5672.1</v>
          </cell>
        </row>
        <row r="137">
          <cell r="AI137" t="str">
            <v>Ул. Левитана дом 23</v>
          </cell>
          <cell r="AJ137">
            <v>5672.09765625</v>
          </cell>
          <cell r="AK137">
            <v>517</v>
          </cell>
          <cell r="AL137">
            <v>328.9</v>
          </cell>
          <cell r="AM137">
            <v>2</v>
          </cell>
          <cell r="AN137">
            <v>2</v>
          </cell>
          <cell r="AO137" t="str">
            <v>АО УЖХ Демского района</v>
          </cell>
          <cell r="AP137">
            <v>469.7</v>
          </cell>
          <cell r="AQ137">
            <v>47.3</v>
          </cell>
          <cell r="AR137">
            <v>67.599999999999994</v>
          </cell>
          <cell r="AS137">
            <v>0</v>
          </cell>
          <cell r="AT137">
            <v>12</v>
          </cell>
          <cell r="AU137">
            <v>2</v>
          </cell>
          <cell r="AV137">
            <v>22</v>
          </cell>
          <cell r="AW137">
            <v>0</v>
          </cell>
          <cell r="AX137">
            <v>0</v>
          </cell>
          <cell r="AY137">
            <v>0</v>
          </cell>
          <cell r="AZ137">
            <v>556.6</v>
          </cell>
          <cell r="BA137">
            <v>622.20000000000005</v>
          </cell>
          <cell r="BB137">
            <v>622.19970703125</v>
          </cell>
          <cell r="BC137" t="str">
            <v>Непосредственное</v>
          </cell>
          <cell r="BD137" t="str">
            <v>1. Жилой дом</v>
          </cell>
          <cell r="BE137">
            <v>69.400000000000006</v>
          </cell>
          <cell r="BF137" t="str">
            <v>2.Чёрный</v>
          </cell>
          <cell r="BG137">
            <v>69.39996337890625</v>
          </cell>
          <cell r="BH137" t="str">
            <v>3.Водяной</v>
          </cell>
          <cell r="BI137" t="str">
            <v>МУП УИС</v>
          </cell>
          <cell r="BJ137" t="str">
            <v>1. Чугун</v>
          </cell>
          <cell r="BK137">
            <v>69.39996337890625</v>
          </cell>
          <cell r="BL137" t="str">
            <v>2.Кирпич</v>
          </cell>
          <cell r="BM137">
            <v>13516</v>
          </cell>
          <cell r="BN137">
            <v>12</v>
          </cell>
          <cell r="BO137" t="str">
            <v>Оборудован</v>
          </cell>
          <cell r="BP137" t="str">
            <v>1.Абсоцемент(шифер)</v>
          </cell>
          <cell r="BQ137" t="str">
            <v>1.Скатная</v>
          </cell>
          <cell r="BR137">
            <v>500.5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 t="str">
            <v>3.Частный жилищный фонд</v>
          </cell>
          <cell r="BX137">
            <v>12</v>
          </cell>
          <cell r="BY137">
            <v>0</v>
          </cell>
          <cell r="BZ137" t="str">
            <v>2-я</v>
          </cell>
          <cell r="CA137">
            <v>1</v>
          </cell>
          <cell r="CB137">
            <v>27.01</v>
          </cell>
          <cell r="CC137">
            <v>1</v>
          </cell>
          <cell r="CD137">
            <v>1</v>
          </cell>
          <cell r="CE137">
            <v>1</v>
          </cell>
          <cell r="CF137" t="str">
            <v>ООО "Гранд"</v>
          </cell>
          <cell r="CG137">
            <v>11</v>
          </cell>
          <cell r="CH137">
            <v>1</v>
          </cell>
          <cell r="CI137">
            <v>1</v>
          </cell>
          <cell r="CJ137">
            <v>1</v>
          </cell>
          <cell r="CK137">
            <v>0</v>
          </cell>
          <cell r="CL137">
            <v>0</v>
          </cell>
          <cell r="CM137">
            <v>13</v>
          </cell>
          <cell r="CN137">
            <v>67.599999999999994</v>
          </cell>
          <cell r="CO137">
            <v>0</v>
          </cell>
          <cell r="CP137">
            <v>67.599999999999994</v>
          </cell>
          <cell r="CQ137">
            <v>67.5999755859375</v>
          </cell>
          <cell r="CR137">
            <v>67.5999755859375</v>
          </cell>
          <cell r="CS137">
            <v>0</v>
          </cell>
          <cell r="CT137">
            <v>12</v>
          </cell>
          <cell r="CU137">
            <v>0</v>
          </cell>
          <cell r="CV137">
            <v>0</v>
          </cell>
          <cell r="CW137">
            <v>0</v>
          </cell>
          <cell r="CX137">
            <v>1</v>
          </cell>
          <cell r="CY137">
            <v>1</v>
          </cell>
          <cell r="CZ137">
            <v>2541</v>
          </cell>
          <cell r="DA137" t="str">
            <v>Демский</v>
          </cell>
          <cell r="DB137" t="str">
            <v>2.Деревянные</v>
          </cell>
          <cell r="DC137">
            <v>2541</v>
          </cell>
          <cell r="DD137">
            <v>2541</v>
          </cell>
          <cell r="DE137">
            <v>2541</v>
          </cell>
          <cell r="DF137">
            <v>2541</v>
          </cell>
          <cell r="DG137">
            <v>2541</v>
          </cell>
          <cell r="DH137">
            <v>2541</v>
          </cell>
          <cell r="DI137">
            <v>2541</v>
          </cell>
          <cell r="DJ137">
            <v>2541</v>
          </cell>
          <cell r="DK137">
            <v>0</v>
          </cell>
          <cell r="DL137">
            <v>0</v>
          </cell>
          <cell r="DM137">
            <v>937357</v>
          </cell>
          <cell r="DN137">
            <v>0</v>
          </cell>
          <cell r="DO137">
            <v>0</v>
          </cell>
          <cell r="DP137" t="str">
            <v>УЖХ</v>
          </cell>
          <cell r="DQ137">
            <v>39752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  <cell r="EB137">
            <v>0</v>
          </cell>
          <cell r="EC137">
            <v>0</v>
          </cell>
          <cell r="ED137" t="str">
            <v>3.Зависимая схема</v>
          </cell>
          <cell r="EE137" t="str">
            <v>Нижний</v>
          </cell>
          <cell r="EF137">
            <v>0</v>
          </cell>
          <cell r="EG137">
            <v>0</v>
          </cell>
          <cell r="EH137">
            <v>0</v>
          </cell>
          <cell r="EI137">
            <v>622.20000000000005</v>
          </cell>
          <cell r="EJ137">
            <v>155.25</v>
          </cell>
          <cell r="EK137">
            <v>237.3</v>
          </cell>
          <cell r="EL137">
            <v>60</v>
          </cell>
          <cell r="EM137">
            <v>47.5</v>
          </cell>
          <cell r="EN137">
            <v>0</v>
          </cell>
          <cell r="EO137">
            <v>0</v>
          </cell>
          <cell r="EP137">
            <v>0</v>
          </cell>
          <cell r="EQ137">
            <v>0</v>
          </cell>
          <cell r="ER137">
            <v>0</v>
          </cell>
          <cell r="ES137">
            <v>0</v>
          </cell>
          <cell r="ET137">
            <v>0</v>
          </cell>
          <cell r="EU137">
            <v>0</v>
          </cell>
          <cell r="EV137">
            <v>0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56.55</v>
          </cell>
          <cell r="FB137">
            <v>1</v>
          </cell>
          <cell r="FC137">
            <v>1</v>
          </cell>
          <cell r="FD137">
            <v>0</v>
          </cell>
          <cell r="FE137">
            <v>0</v>
          </cell>
          <cell r="FF137">
            <v>18.190000000000001</v>
          </cell>
          <cell r="FG137">
            <v>18.189987182617188</v>
          </cell>
          <cell r="FH137" t="str">
            <v>С УЛК (ЖЭУ)</v>
          </cell>
          <cell r="FI137">
            <v>43647</v>
          </cell>
          <cell r="FJ137">
            <v>15477</v>
          </cell>
          <cell r="FK137">
            <v>15477</v>
          </cell>
          <cell r="FL137">
            <v>584.6</v>
          </cell>
          <cell r="FM137">
            <v>78.92</v>
          </cell>
          <cell r="FN137">
            <v>1271.1599999999999</v>
          </cell>
          <cell r="FO137">
            <v>3813.4799999999996</v>
          </cell>
        </row>
        <row r="138">
          <cell r="AI138" t="str">
            <v>Ул. Левитана дом 36</v>
          </cell>
          <cell r="AJ138">
            <v>3813.478515625</v>
          </cell>
          <cell r="AK138">
            <v>7309.5</v>
          </cell>
          <cell r="AL138">
            <v>4484.8</v>
          </cell>
          <cell r="AM138">
            <v>4</v>
          </cell>
          <cell r="AN138">
            <v>4</v>
          </cell>
          <cell r="AO138" t="str">
            <v>АО УЖХ Демского района</v>
          </cell>
          <cell r="AP138">
            <v>7235.7</v>
          </cell>
          <cell r="AQ138">
            <v>73.8</v>
          </cell>
          <cell r="AR138">
            <v>458.9</v>
          </cell>
          <cell r="AS138">
            <v>544.9</v>
          </cell>
          <cell r="AT138">
            <v>133</v>
          </cell>
          <cell r="AU138">
            <v>9</v>
          </cell>
          <cell r="AV138">
            <v>348</v>
          </cell>
          <cell r="AW138">
            <v>348</v>
          </cell>
          <cell r="AX138" t="str">
            <v>отказ от услуги</v>
          </cell>
          <cell r="AY138">
            <v>578</v>
          </cell>
          <cell r="AZ138">
            <v>1747.6</v>
          </cell>
          <cell r="BA138">
            <v>1393.8</v>
          </cell>
          <cell r="BB138">
            <v>1393.7998046875</v>
          </cell>
          <cell r="BC138" t="str">
            <v>Управляющая компания</v>
          </cell>
          <cell r="BD138" t="str">
            <v>1. Жилой дом</v>
          </cell>
          <cell r="BE138">
            <v>29.4</v>
          </cell>
          <cell r="BF138" t="str">
            <v>2.Чёрный</v>
          </cell>
          <cell r="BG138" t="str">
            <v>2.Чёрный</v>
          </cell>
          <cell r="BH138" t="str">
            <v>3.Водяной</v>
          </cell>
          <cell r="BI138" t="str">
            <v>МУП УИС</v>
          </cell>
          <cell r="BJ138" t="str">
            <v>1. Чугун</v>
          </cell>
          <cell r="BK138">
            <v>4</v>
          </cell>
          <cell r="BL138" t="str">
            <v>2.Кирпич</v>
          </cell>
          <cell r="BM138">
            <v>31778</v>
          </cell>
          <cell r="BN138">
            <v>31778</v>
          </cell>
          <cell r="BO138" t="str">
            <v>Оборудован</v>
          </cell>
          <cell r="BP138" t="str">
            <v>4.Мягк/рулонная</v>
          </cell>
          <cell r="BQ138" t="str">
            <v>2.Плоская</v>
          </cell>
          <cell r="BR138">
            <v>1928.8</v>
          </cell>
          <cell r="BS138">
            <v>1479.7</v>
          </cell>
          <cell r="BT138">
            <v>1479.69921875</v>
          </cell>
          <cell r="BU138">
            <v>1489</v>
          </cell>
          <cell r="BV138">
            <v>1489</v>
          </cell>
          <cell r="BW138" t="str">
            <v>3.Частный жилищный фонд</v>
          </cell>
          <cell r="BX138">
            <v>133</v>
          </cell>
          <cell r="BY138">
            <v>0</v>
          </cell>
          <cell r="BZ138" t="str">
            <v>2-я</v>
          </cell>
          <cell r="CA138">
            <v>1</v>
          </cell>
          <cell r="CB138">
            <v>27.01</v>
          </cell>
          <cell r="CC138">
            <v>27.009994506835938</v>
          </cell>
          <cell r="CD138">
            <v>7383.9</v>
          </cell>
          <cell r="CE138">
            <v>7383.8984375</v>
          </cell>
          <cell r="CF138" t="str">
            <v>ООО "Гранд"</v>
          </cell>
          <cell r="CG138">
            <v>132</v>
          </cell>
          <cell r="CH138">
            <v>1</v>
          </cell>
          <cell r="CI138">
            <v>1</v>
          </cell>
          <cell r="CJ138">
            <v>1</v>
          </cell>
          <cell r="CK138">
            <v>0</v>
          </cell>
          <cell r="CL138">
            <v>1</v>
          </cell>
          <cell r="CM138">
            <v>133</v>
          </cell>
          <cell r="CN138">
            <v>1003.8</v>
          </cell>
          <cell r="CO138">
            <v>1003.8</v>
          </cell>
          <cell r="CP138">
            <v>3972.5</v>
          </cell>
          <cell r="CQ138">
            <v>3972.5</v>
          </cell>
          <cell r="CR138">
            <v>3972.5</v>
          </cell>
          <cell r="CS138">
            <v>1</v>
          </cell>
          <cell r="CT138">
            <v>133</v>
          </cell>
          <cell r="CU138">
            <v>0</v>
          </cell>
          <cell r="CV138">
            <v>106</v>
          </cell>
          <cell r="CW138">
            <v>126</v>
          </cell>
          <cell r="CX138">
            <v>1</v>
          </cell>
          <cell r="CY138">
            <v>1</v>
          </cell>
          <cell r="CZ138">
            <v>37482</v>
          </cell>
          <cell r="DA138" t="str">
            <v>Демский</v>
          </cell>
          <cell r="DB138" t="str">
            <v>3.Сборные ж/б панели</v>
          </cell>
          <cell r="DC138">
            <v>37482</v>
          </cell>
          <cell r="DD138">
            <v>37482</v>
          </cell>
          <cell r="DE138">
            <v>37482</v>
          </cell>
          <cell r="DF138">
            <v>37482</v>
          </cell>
          <cell r="DG138">
            <v>37482</v>
          </cell>
          <cell r="DH138">
            <v>37482</v>
          </cell>
          <cell r="DI138">
            <v>37482</v>
          </cell>
          <cell r="DJ138" t="str">
            <v>АО УЖХ Демского района</v>
          </cell>
          <cell r="DK138">
            <v>37482</v>
          </cell>
          <cell r="DL138">
            <v>37482</v>
          </cell>
          <cell r="DM138">
            <v>20297828</v>
          </cell>
          <cell r="DN138">
            <v>3</v>
          </cell>
          <cell r="DO138" t="str">
            <v>ГВС</v>
          </cell>
          <cell r="DP138" t="str">
            <v>УЖХ</v>
          </cell>
          <cell r="DQ138">
            <v>40277</v>
          </cell>
          <cell r="DR138">
            <v>0</v>
          </cell>
          <cell r="DS138">
            <v>133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 t="str">
            <v>4. Независимая схема</v>
          </cell>
          <cell r="EE138" t="str">
            <v>Верхний</v>
          </cell>
          <cell r="EF138">
            <v>0</v>
          </cell>
          <cell r="EG138">
            <v>0</v>
          </cell>
          <cell r="EH138">
            <v>1011.68</v>
          </cell>
          <cell r="EI138">
            <v>1011.6796875</v>
          </cell>
          <cell r="EJ138">
            <v>530</v>
          </cell>
          <cell r="EK138">
            <v>730.9</v>
          </cell>
          <cell r="EL138">
            <v>0</v>
          </cell>
          <cell r="EM138">
            <v>479.2</v>
          </cell>
          <cell r="EN138">
            <v>3</v>
          </cell>
          <cell r="EO138">
            <v>3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382.12</v>
          </cell>
          <cell r="EV138">
            <v>1</v>
          </cell>
          <cell r="EW138">
            <v>8.4</v>
          </cell>
          <cell r="EX138">
            <v>1</v>
          </cell>
          <cell r="EY138">
            <v>1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16</v>
          </cell>
          <cell r="FG138">
            <v>2</v>
          </cell>
          <cell r="FH138">
            <v>2</v>
          </cell>
          <cell r="FI138">
            <v>43647</v>
          </cell>
          <cell r="FJ138">
            <v>15477</v>
          </cell>
          <cell r="FK138">
            <v>15477</v>
          </cell>
          <cell r="FL138">
            <v>10371</v>
          </cell>
          <cell r="FM138">
            <v>78.92</v>
          </cell>
          <cell r="FN138">
            <v>3592.3300000000004</v>
          </cell>
          <cell r="FO138">
            <v>10776.990000000002</v>
          </cell>
        </row>
        <row r="139">
          <cell r="AI139" t="str">
            <v>Ул. Левитана дом 37</v>
          </cell>
          <cell r="AJ139">
            <v>10776.984375</v>
          </cell>
          <cell r="AK139">
            <v>620.6</v>
          </cell>
          <cell r="AL139">
            <v>412.1</v>
          </cell>
          <cell r="AM139">
            <v>2</v>
          </cell>
          <cell r="AN139">
            <v>2</v>
          </cell>
          <cell r="AO139" t="str">
            <v>АО УЖХ Демского района</v>
          </cell>
          <cell r="AP139">
            <v>578.5</v>
          </cell>
          <cell r="AQ139">
            <v>42.6</v>
          </cell>
          <cell r="AR139">
            <v>43</v>
          </cell>
          <cell r="AS139">
            <v>4.2</v>
          </cell>
          <cell r="AT139">
            <v>16</v>
          </cell>
          <cell r="AU139">
            <v>2</v>
          </cell>
          <cell r="AV139">
            <v>35</v>
          </cell>
          <cell r="AW139">
            <v>0</v>
          </cell>
          <cell r="AX139">
            <v>0</v>
          </cell>
          <cell r="AY139">
            <v>0</v>
          </cell>
          <cell r="AZ139">
            <v>382.4</v>
          </cell>
          <cell r="BA139">
            <v>193.6</v>
          </cell>
          <cell r="BB139">
            <v>193.5999755859375</v>
          </cell>
          <cell r="BC139" t="str">
            <v>Непосредственное</v>
          </cell>
          <cell r="BD139" t="str">
            <v>1. Жилой дом</v>
          </cell>
          <cell r="BE139">
            <v>65.75</v>
          </cell>
          <cell r="BF139" t="str">
            <v>3.Полипропилен</v>
          </cell>
          <cell r="BG139">
            <v>65.75</v>
          </cell>
          <cell r="BH139" t="str">
            <v>3.Водяной</v>
          </cell>
          <cell r="BI139" t="str">
            <v>МУП УИС</v>
          </cell>
          <cell r="BJ139" t="str">
            <v>2. ПВХ</v>
          </cell>
          <cell r="BK139">
            <v>65.75</v>
          </cell>
          <cell r="BL139" t="str">
            <v>4.Шлакоблок</v>
          </cell>
          <cell r="BM139">
            <v>21186</v>
          </cell>
          <cell r="BN139">
            <v>16</v>
          </cell>
          <cell r="BO139" t="str">
            <v>Оборудован</v>
          </cell>
          <cell r="BP139" t="str">
            <v>8.Профнастил</v>
          </cell>
          <cell r="BQ139" t="str">
            <v>1.Скатная</v>
          </cell>
          <cell r="BR139">
            <v>556.5</v>
          </cell>
          <cell r="BS139">
            <v>428.1</v>
          </cell>
          <cell r="BT139">
            <v>428.099853515625</v>
          </cell>
          <cell r="BU139">
            <v>428.099853515625</v>
          </cell>
          <cell r="BV139">
            <v>0</v>
          </cell>
          <cell r="BW139" t="str">
            <v>3.Частный жилищный фонд</v>
          </cell>
          <cell r="BX139">
            <v>16</v>
          </cell>
          <cell r="BY139">
            <v>0</v>
          </cell>
          <cell r="BZ139" t="str">
            <v>3-я</v>
          </cell>
          <cell r="CA139">
            <v>1</v>
          </cell>
          <cell r="CB139">
            <v>27.01</v>
          </cell>
          <cell r="CC139">
            <v>1</v>
          </cell>
          <cell r="CD139">
            <v>1</v>
          </cell>
          <cell r="CE139">
            <v>1</v>
          </cell>
          <cell r="CF139" t="str">
            <v>ООО "Гранд"</v>
          </cell>
          <cell r="CG139">
            <v>15</v>
          </cell>
          <cell r="CH139">
            <v>1</v>
          </cell>
          <cell r="CI139">
            <v>1</v>
          </cell>
          <cell r="CJ139">
            <v>1</v>
          </cell>
          <cell r="CK139">
            <v>0</v>
          </cell>
          <cell r="CL139">
            <v>0</v>
          </cell>
          <cell r="CM139">
            <v>17</v>
          </cell>
          <cell r="CN139">
            <v>47.2</v>
          </cell>
          <cell r="CO139">
            <v>0</v>
          </cell>
          <cell r="CP139">
            <v>475.3</v>
          </cell>
          <cell r="CQ139">
            <v>475.2998046875</v>
          </cell>
          <cell r="CR139">
            <v>475.2998046875</v>
          </cell>
          <cell r="CS139">
            <v>0</v>
          </cell>
          <cell r="CT139">
            <v>16</v>
          </cell>
          <cell r="CU139">
            <v>0</v>
          </cell>
          <cell r="CV139">
            <v>0</v>
          </cell>
          <cell r="CW139">
            <v>0</v>
          </cell>
          <cell r="CX139">
            <v>1</v>
          </cell>
          <cell r="CY139">
            <v>1</v>
          </cell>
          <cell r="CZ139">
            <v>2569</v>
          </cell>
          <cell r="DA139" t="str">
            <v>Демский</v>
          </cell>
          <cell r="DB139" t="str">
            <v>3.Сборные ж/б панели</v>
          </cell>
          <cell r="DC139">
            <v>2569</v>
          </cell>
          <cell r="DD139">
            <v>2569</v>
          </cell>
          <cell r="DE139">
            <v>2569</v>
          </cell>
          <cell r="DF139">
            <v>2569</v>
          </cell>
          <cell r="DG139">
            <v>2569</v>
          </cell>
          <cell r="DH139">
            <v>2569</v>
          </cell>
          <cell r="DI139">
            <v>2569</v>
          </cell>
          <cell r="DJ139">
            <v>2569</v>
          </cell>
          <cell r="DK139">
            <v>0</v>
          </cell>
          <cell r="DL139">
            <v>0</v>
          </cell>
          <cell r="DM139">
            <v>1074256</v>
          </cell>
          <cell r="DN139">
            <v>0</v>
          </cell>
          <cell r="DO139">
            <v>0</v>
          </cell>
          <cell r="DP139" t="str">
            <v>УЖХ</v>
          </cell>
          <cell r="DQ139">
            <v>38517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 t="str">
            <v>3.Зависимая схема</v>
          </cell>
          <cell r="EE139" t="str">
            <v>Верхний</v>
          </cell>
          <cell r="EF139">
            <v>0</v>
          </cell>
          <cell r="EG139">
            <v>0</v>
          </cell>
          <cell r="EH139">
            <v>0</v>
          </cell>
          <cell r="EI139">
            <v>193.6</v>
          </cell>
          <cell r="EJ139">
            <v>140</v>
          </cell>
          <cell r="EK139">
            <v>182.6</v>
          </cell>
          <cell r="EL139">
            <v>24.5</v>
          </cell>
          <cell r="EM139">
            <v>35.299999999999997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F139">
            <v>18.47</v>
          </cell>
          <cell r="FG139">
            <v>18.469985961914063</v>
          </cell>
          <cell r="FH139" t="str">
            <v>С УЛК (ЖЭУ)</v>
          </cell>
          <cell r="FI139">
            <v>43647</v>
          </cell>
          <cell r="FJ139">
            <v>15477</v>
          </cell>
          <cell r="FK139">
            <v>15477</v>
          </cell>
          <cell r="FL139">
            <v>1095.9000000000001</v>
          </cell>
          <cell r="FM139">
            <v>78.92</v>
          </cell>
          <cell r="FN139">
            <v>1694.88</v>
          </cell>
          <cell r="FO139">
            <v>5084.6400000000003</v>
          </cell>
        </row>
        <row r="140">
          <cell r="AI140" t="str">
            <v>Ул. Альшеевская дом 10</v>
          </cell>
          <cell r="AJ140">
            <v>5084.63671875</v>
          </cell>
          <cell r="AK140">
            <v>724.7</v>
          </cell>
          <cell r="AL140">
            <v>497.1</v>
          </cell>
          <cell r="AM140">
            <v>2</v>
          </cell>
          <cell r="AN140">
            <v>2</v>
          </cell>
          <cell r="AO140" t="str">
            <v>АО УЖХ Демского района</v>
          </cell>
          <cell r="AP140">
            <v>633</v>
          </cell>
          <cell r="AQ140">
            <v>91.7</v>
          </cell>
          <cell r="AR140">
            <v>73</v>
          </cell>
          <cell r="AS140">
            <v>8.4</v>
          </cell>
          <cell r="AT140">
            <v>12</v>
          </cell>
          <cell r="AU140">
            <v>2</v>
          </cell>
          <cell r="AV140">
            <v>46</v>
          </cell>
          <cell r="AW140">
            <v>0</v>
          </cell>
          <cell r="AX140">
            <v>0</v>
          </cell>
          <cell r="AY140">
            <v>0</v>
          </cell>
          <cell r="AZ140">
            <v>591.9</v>
          </cell>
          <cell r="BA140">
            <v>1284</v>
          </cell>
          <cell r="BB140" t="str">
            <v>Пост №901 от 20.06.2019</v>
          </cell>
          <cell r="BC140" t="str">
            <v>Непосредственное</v>
          </cell>
          <cell r="BD140" t="str">
            <v>1. Жилой дом</v>
          </cell>
          <cell r="BE140">
            <v>54.2</v>
          </cell>
          <cell r="BF140" t="str">
            <v>2.Чёрный</v>
          </cell>
          <cell r="BG140">
            <v>54.199981689453125</v>
          </cell>
          <cell r="BH140" t="str">
            <v>1.АОГВ</v>
          </cell>
          <cell r="BI140">
            <v>54.199981689453125</v>
          </cell>
          <cell r="BJ140" t="str">
            <v>1. Чугун</v>
          </cell>
          <cell r="BK140">
            <v>54.199981689453125</v>
          </cell>
          <cell r="BL140" t="str">
            <v>4.Шлакоблок</v>
          </cell>
          <cell r="BM140">
            <v>20455</v>
          </cell>
          <cell r="BN140">
            <v>20455</v>
          </cell>
          <cell r="BO140" t="str">
            <v>Не оборудован</v>
          </cell>
          <cell r="BP140" t="str">
            <v>1.Абсоцемент(шифер)</v>
          </cell>
          <cell r="BQ140" t="str">
            <v>1.Скатная</v>
          </cell>
          <cell r="BR140">
            <v>400</v>
          </cell>
          <cell r="BS140">
            <v>0</v>
          </cell>
          <cell r="BT140">
            <v>0</v>
          </cell>
          <cell r="BU140">
            <v>0</v>
          </cell>
          <cell r="BV140">
            <v>400</v>
          </cell>
          <cell r="BW140" t="str">
            <v>3.Частный жилищный фонд</v>
          </cell>
          <cell r="BX140">
            <v>12</v>
          </cell>
          <cell r="BY140">
            <v>0</v>
          </cell>
          <cell r="BZ140" t="str">
            <v>2-я</v>
          </cell>
          <cell r="CA140">
            <v>1</v>
          </cell>
          <cell r="CB140">
            <v>27.01</v>
          </cell>
          <cell r="CC140">
            <v>1</v>
          </cell>
          <cell r="CD140">
            <v>1</v>
          </cell>
          <cell r="CE140">
            <v>1</v>
          </cell>
          <cell r="CF140" t="str">
            <v>ООО "Дёма Комфорт"</v>
          </cell>
          <cell r="CG140">
            <v>10</v>
          </cell>
          <cell r="CH140">
            <v>2</v>
          </cell>
          <cell r="CI140">
            <v>2</v>
          </cell>
          <cell r="CJ140">
            <v>2</v>
          </cell>
          <cell r="CK140">
            <v>0</v>
          </cell>
          <cell r="CL140">
            <v>0</v>
          </cell>
          <cell r="CM140">
            <v>18</v>
          </cell>
          <cell r="CN140">
            <v>81.400000000000006</v>
          </cell>
          <cell r="CO140">
            <v>0</v>
          </cell>
          <cell r="CP140">
            <v>81.400000000000006</v>
          </cell>
          <cell r="CQ140">
            <v>81.39996337890625</v>
          </cell>
          <cell r="CR140">
            <v>81.39996337890625</v>
          </cell>
          <cell r="CS140">
            <v>0</v>
          </cell>
          <cell r="CT140">
            <v>12</v>
          </cell>
          <cell r="CU140">
            <v>0</v>
          </cell>
          <cell r="CV140">
            <v>0</v>
          </cell>
          <cell r="CW140">
            <v>0</v>
          </cell>
          <cell r="CX140">
            <v>1</v>
          </cell>
          <cell r="CY140">
            <v>1</v>
          </cell>
          <cell r="CZ140">
            <v>3544</v>
          </cell>
          <cell r="DA140" t="str">
            <v>Демский</v>
          </cell>
          <cell r="DB140" t="str">
            <v>3.Сборные ж/б панели</v>
          </cell>
          <cell r="DC140">
            <v>3544</v>
          </cell>
          <cell r="DD140">
            <v>3544</v>
          </cell>
          <cell r="DE140">
            <v>3544</v>
          </cell>
          <cell r="DF140">
            <v>3544</v>
          </cell>
          <cell r="DG140">
            <v>3544</v>
          </cell>
          <cell r="DH140">
            <v>3544</v>
          </cell>
          <cell r="DI140">
            <v>3544</v>
          </cell>
          <cell r="DJ140">
            <v>3544</v>
          </cell>
          <cell r="DK140">
            <v>0</v>
          </cell>
          <cell r="DL140">
            <v>0</v>
          </cell>
          <cell r="DM140">
            <v>1254440</v>
          </cell>
          <cell r="DN140">
            <v>0</v>
          </cell>
          <cell r="DO140">
            <v>0</v>
          </cell>
          <cell r="DP140" t="str">
            <v>УЖХ</v>
          </cell>
          <cell r="DQ140">
            <v>35535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24</v>
          </cell>
          <cell r="EI140">
            <v>1260</v>
          </cell>
          <cell r="EJ140">
            <v>105</v>
          </cell>
          <cell r="EK140">
            <v>381.3</v>
          </cell>
          <cell r="EL140">
            <v>381.2998046875</v>
          </cell>
          <cell r="EM140">
            <v>105.6</v>
          </cell>
          <cell r="EN140">
            <v>0</v>
          </cell>
          <cell r="EO140">
            <v>0</v>
          </cell>
          <cell r="EP140">
            <v>0</v>
          </cell>
          <cell r="EQ140">
            <v>0</v>
          </cell>
          <cell r="ER140">
            <v>0</v>
          </cell>
          <cell r="ES140">
            <v>0</v>
          </cell>
          <cell r="ET140">
            <v>0</v>
          </cell>
          <cell r="EU140">
            <v>0</v>
          </cell>
          <cell r="EV140">
            <v>0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0</v>
          </cell>
          <cell r="FB140">
            <v>0</v>
          </cell>
          <cell r="FC140">
            <v>0</v>
          </cell>
          <cell r="FD140">
            <v>0</v>
          </cell>
          <cell r="FE140">
            <v>0</v>
          </cell>
          <cell r="FF140">
            <v>17.54</v>
          </cell>
          <cell r="FG140">
            <v>17.539993286132813</v>
          </cell>
          <cell r="FH140" t="str">
            <v>С УЛК (ЖЭУ)</v>
          </cell>
          <cell r="FI140">
            <v>43647</v>
          </cell>
          <cell r="FJ140">
            <v>0</v>
          </cell>
          <cell r="FK140">
            <v>11109</v>
          </cell>
          <cell r="FL140">
            <v>806.1</v>
          </cell>
          <cell r="FM140">
            <v>78.92</v>
          </cell>
          <cell r="FN140">
            <v>1271.1599999999999</v>
          </cell>
          <cell r="FO140">
            <v>3813.4799999999996</v>
          </cell>
        </row>
        <row r="141">
          <cell r="AI141" t="str">
            <v>Ул. Левитана дом 38</v>
          </cell>
          <cell r="AJ141">
            <v>3813.478515625</v>
          </cell>
          <cell r="AK141">
            <v>6546.9</v>
          </cell>
          <cell r="AL141">
            <v>3962.4</v>
          </cell>
          <cell r="AM141">
            <v>8</v>
          </cell>
          <cell r="AN141">
            <v>8</v>
          </cell>
          <cell r="AO141" t="str">
            <v>АО УЖХ Демского района</v>
          </cell>
          <cell r="AP141">
            <v>6408.1</v>
          </cell>
          <cell r="AQ141">
            <v>133.5</v>
          </cell>
          <cell r="AR141">
            <v>575.9</v>
          </cell>
          <cell r="AS141">
            <v>80.8</v>
          </cell>
          <cell r="AT141">
            <v>128</v>
          </cell>
          <cell r="AU141">
            <v>6</v>
          </cell>
          <cell r="AV141">
            <v>307</v>
          </cell>
          <cell r="AW141">
            <v>0</v>
          </cell>
          <cell r="AX141">
            <v>0</v>
          </cell>
          <cell r="AY141">
            <v>912.4</v>
          </cell>
          <cell r="AZ141">
            <v>1854.84</v>
          </cell>
          <cell r="BA141">
            <v>1408</v>
          </cell>
          <cell r="BB141">
            <v>1408</v>
          </cell>
          <cell r="BC141" t="str">
            <v>Управляющая компания</v>
          </cell>
          <cell r="BD141" t="str">
            <v>1. Жилой дом</v>
          </cell>
          <cell r="BE141">
            <v>25.4</v>
          </cell>
          <cell r="BF141" t="str">
            <v>2.Чёрный</v>
          </cell>
          <cell r="BG141" t="str">
            <v>2.Чёрный</v>
          </cell>
          <cell r="BH141" t="str">
            <v>3.Водяной</v>
          </cell>
          <cell r="BI141" t="str">
            <v>МУП УИС</v>
          </cell>
          <cell r="BJ141" t="str">
            <v>1. Чугун</v>
          </cell>
          <cell r="BK141">
            <v>25.399993896484375</v>
          </cell>
          <cell r="BL141" t="str">
            <v>2.Кирпич</v>
          </cell>
          <cell r="BM141">
            <v>33604</v>
          </cell>
          <cell r="BN141">
            <v>33604</v>
          </cell>
          <cell r="BO141" t="str">
            <v>Оборудован</v>
          </cell>
          <cell r="BP141" t="str">
            <v>4.Мягк/рулонная</v>
          </cell>
          <cell r="BQ141" t="str">
            <v>2.Плоская</v>
          </cell>
          <cell r="BR141">
            <v>2003.9</v>
          </cell>
          <cell r="BS141">
            <v>1900.7</v>
          </cell>
          <cell r="BT141">
            <v>1900.69921875</v>
          </cell>
          <cell r="BU141">
            <v>1900.69921875</v>
          </cell>
          <cell r="BV141">
            <v>0</v>
          </cell>
          <cell r="BW141" t="str">
            <v>3.Частный жилищный фонд</v>
          </cell>
          <cell r="BX141">
            <v>128</v>
          </cell>
          <cell r="BY141">
            <v>0</v>
          </cell>
          <cell r="BZ141" t="str">
            <v>2-я</v>
          </cell>
          <cell r="CA141">
            <v>1</v>
          </cell>
          <cell r="CB141">
            <v>27.01</v>
          </cell>
          <cell r="CC141">
            <v>27.009994506835938</v>
          </cell>
          <cell r="CD141">
            <v>6541.6</v>
          </cell>
          <cell r="CE141">
            <v>6541.59765625</v>
          </cell>
          <cell r="CF141" t="str">
            <v>ООО "Гранд"</v>
          </cell>
          <cell r="CG141">
            <v>125</v>
          </cell>
          <cell r="CH141">
            <v>3</v>
          </cell>
          <cell r="CI141">
            <v>3</v>
          </cell>
          <cell r="CJ141">
            <v>3</v>
          </cell>
          <cell r="CK141">
            <v>0</v>
          </cell>
          <cell r="CL141">
            <v>1</v>
          </cell>
          <cell r="CM141">
            <v>128</v>
          </cell>
          <cell r="CN141">
            <v>656.7</v>
          </cell>
          <cell r="CO141">
            <v>656.7</v>
          </cell>
          <cell r="CP141">
            <v>2557.4</v>
          </cell>
          <cell r="CQ141">
            <v>2557.3984375</v>
          </cell>
          <cell r="CR141">
            <v>2557.3984375</v>
          </cell>
          <cell r="CS141">
            <v>2</v>
          </cell>
          <cell r="CT141">
            <v>128</v>
          </cell>
          <cell r="CU141">
            <v>0</v>
          </cell>
          <cell r="CV141">
            <v>114</v>
          </cell>
          <cell r="CW141">
            <v>118</v>
          </cell>
          <cell r="CX141">
            <v>2</v>
          </cell>
          <cell r="CY141">
            <v>2</v>
          </cell>
          <cell r="CZ141">
            <v>17564</v>
          </cell>
          <cell r="DA141" t="str">
            <v>Демский</v>
          </cell>
          <cell r="DB141" t="str">
            <v>3.Сборные ж/б панели</v>
          </cell>
          <cell r="DC141">
            <v>17564</v>
          </cell>
          <cell r="DD141">
            <v>17564</v>
          </cell>
          <cell r="DE141">
            <v>17564</v>
          </cell>
          <cell r="DF141">
            <v>17564</v>
          </cell>
          <cell r="DG141">
            <v>17564</v>
          </cell>
          <cell r="DH141">
            <v>17564</v>
          </cell>
          <cell r="DI141">
            <v>17564</v>
          </cell>
          <cell r="DJ141">
            <v>17564</v>
          </cell>
          <cell r="DK141">
            <v>17564</v>
          </cell>
          <cell r="DL141">
            <v>17564</v>
          </cell>
          <cell r="DM141">
            <v>7716900</v>
          </cell>
          <cell r="DN141">
            <v>8</v>
          </cell>
          <cell r="DO141" t="str">
            <v>ГВС</v>
          </cell>
          <cell r="DP141" t="str">
            <v>УЖХ</v>
          </cell>
          <cell r="DQ141">
            <v>39238</v>
          </cell>
          <cell r="DR141">
            <v>0</v>
          </cell>
          <cell r="DS141">
            <v>128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0</v>
          </cell>
          <cell r="EA141">
            <v>0</v>
          </cell>
          <cell r="EB141">
            <v>0</v>
          </cell>
          <cell r="EC141">
            <v>0</v>
          </cell>
          <cell r="ED141" t="str">
            <v>4. Независимая схема</v>
          </cell>
          <cell r="EE141" t="str">
            <v>Нижний</v>
          </cell>
          <cell r="EF141">
            <v>0</v>
          </cell>
          <cell r="EG141">
            <v>0</v>
          </cell>
          <cell r="EH141">
            <v>133.9</v>
          </cell>
          <cell r="EI141">
            <v>1083.8</v>
          </cell>
          <cell r="EJ141">
            <v>68.64</v>
          </cell>
          <cell r="EK141">
            <v>746.14</v>
          </cell>
          <cell r="EL141">
            <v>0</v>
          </cell>
          <cell r="EM141">
            <v>1040.06</v>
          </cell>
          <cell r="EN141">
            <v>0</v>
          </cell>
          <cell r="EO141">
            <v>0</v>
          </cell>
          <cell r="EP141">
            <v>0</v>
          </cell>
          <cell r="EQ141">
            <v>0</v>
          </cell>
          <cell r="ER141">
            <v>0</v>
          </cell>
          <cell r="ES141">
            <v>0</v>
          </cell>
          <cell r="ET141">
            <v>0</v>
          </cell>
          <cell r="EU141">
            <v>190.3</v>
          </cell>
          <cell r="EV141">
            <v>1</v>
          </cell>
          <cell r="EW141">
            <v>1</v>
          </cell>
          <cell r="EX141">
            <v>0</v>
          </cell>
          <cell r="EY141">
            <v>0</v>
          </cell>
          <cell r="EZ141">
            <v>0</v>
          </cell>
          <cell r="FA141">
            <v>0</v>
          </cell>
          <cell r="FB141">
            <v>0</v>
          </cell>
          <cell r="FC141">
            <v>0</v>
          </cell>
          <cell r="FD141">
            <v>0</v>
          </cell>
          <cell r="FE141">
            <v>0</v>
          </cell>
          <cell r="FF141">
            <v>11.52</v>
          </cell>
          <cell r="FG141">
            <v>2</v>
          </cell>
          <cell r="FH141">
            <v>2</v>
          </cell>
          <cell r="FI141">
            <v>43466</v>
          </cell>
          <cell r="FJ141">
            <v>15477</v>
          </cell>
          <cell r="FK141">
            <v>15477</v>
          </cell>
          <cell r="FL141">
            <v>10191.700000000001</v>
          </cell>
          <cell r="FM141">
            <v>78.92</v>
          </cell>
          <cell r="FN141">
            <v>3457.28</v>
          </cell>
          <cell r="FO141">
            <v>10371.84</v>
          </cell>
        </row>
        <row r="142">
          <cell r="AI142" t="str">
            <v>Ул. Альшеевская дом 12</v>
          </cell>
          <cell r="AJ142">
            <v>10371.8359375</v>
          </cell>
          <cell r="AK142">
            <v>428.3</v>
          </cell>
          <cell r="AL142">
            <v>273</v>
          </cell>
          <cell r="AM142">
            <v>2</v>
          </cell>
          <cell r="AN142">
            <v>2</v>
          </cell>
          <cell r="AO142" t="str">
            <v>АО УЖХ Демского района</v>
          </cell>
          <cell r="AP142">
            <v>427.9</v>
          </cell>
          <cell r="AQ142">
            <v>0</v>
          </cell>
          <cell r="AR142">
            <v>38.5</v>
          </cell>
          <cell r="AS142">
            <v>5.9</v>
          </cell>
          <cell r="AT142">
            <v>8</v>
          </cell>
          <cell r="AU142">
            <v>2</v>
          </cell>
          <cell r="AV142">
            <v>20</v>
          </cell>
          <cell r="AW142">
            <v>0</v>
          </cell>
          <cell r="AX142">
            <v>0</v>
          </cell>
          <cell r="AY142">
            <v>0</v>
          </cell>
          <cell r="AZ142">
            <v>310.60000000000002</v>
          </cell>
          <cell r="BA142">
            <v>1155.9000000000001</v>
          </cell>
          <cell r="BB142">
            <v>1155.8994140625</v>
          </cell>
          <cell r="BC142" t="str">
            <v>Непосредственное</v>
          </cell>
          <cell r="BD142" t="str">
            <v>1. Жилой дом</v>
          </cell>
          <cell r="BE142">
            <v>52.6</v>
          </cell>
          <cell r="BF142" t="str">
            <v>2.Чёрный</v>
          </cell>
          <cell r="BG142">
            <v>52.5999755859375</v>
          </cell>
          <cell r="BH142" t="str">
            <v>1.АОГВ</v>
          </cell>
          <cell r="BI142">
            <v>52.5999755859375</v>
          </cell>
          <cell r="BJ142" t="str">
            <v>1. Чугун</v>
          </cell>
          <cell r="BK142">
            <v>52.5999755859375</v>
          </cell>
          <cell r="BL142" t="str">
            <v>4.Шлакоблок</v>
          </cell>
          <cell r="BM142">
            <v>21186</v>
          </cell>
          <cell r="BN142">
            <v>21186</v>
          </cell>
          <cell r="BO142" t="str">
            <v>Не оборудован</v>
          </cell>
          <cell r="BP142" t="str">
            <v>1.Абсоцемент(шифер)</v>
          </cell>
          <cell r="BQ142" t="str">
            <v>1.Скатная</v>
          </cell>
          <cell r="BR142">
            <v>401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 t="str">
            <v>3.Частный жилищный фонд</v>
          </cell>
          <cell r="BX142">
            <v>8</v>
          </cell>
          <cell r="BY142">
            <v>0</v>
          </cell>
          <cell r="BZ142" t="str">
            <v>2-я</v>
          </cell>
          <cell r="CA142">
            <v>1</v>
          </cell>
          <cell r="CB142">
            <v>27.01</v>
          </cell>
          <cell r="CC142">
            <v>1</v>
          </cell>
          <cell r="CD142">
            <v>1</v>
          </cell>
          <cell r="CE142">
            <v>1</v>
          </cell>
          <cell r="CF142" t="str">
            <v>ООО "Дёма Комфорт"</v>
          </cell>
          <cell r="CG142">
            <v>8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9</v>
          </cell>
          <cell r="CN142">
            <v>44.4</v>
          </cell>
          <cell r="CO142">
            <v>0</v>
          </cell>
          <cell r="CP142">
            <v>44.4</v>
          </cell>
          <cell r="CQ142">
            <v>44.399993896484375</v>
          </cell>
          <cell r="CR142">
            <v>44.399993896484375</v>
          </cell>
          <cell r="CS142">
            <v>0</v>
          </cell>
          <cell r="CT142">
            <v>8</v>
          </cell>
          <cell r="CU142">
            <v>0</v>
          </cell>
          <cell r="CV142">
            <v>0</v>
          </cell>
          <cell r="CW142">
            <v>0</v>
          </cell>
          <cell r="CX142">
            <v>1</v>
          </cell>
          <cell r="CY142">
            <v>1</v>
          </cell>
          <cell r="CZ142">
            <v>2343</v>
          </cell>
          <cell r="DA142" t="str">
            <v>Демский</v>
          </cell>
          <cell r="DB142" t="str">
            <v>2.Деревянные</v>
          </cell>
          <cell r="DC142">
            <v>2343</v>
          </cell>
          <cell r="DD142">
            <v>2343</v>
          </cell>
          <cell r="DE142">
            <v>2343</v>
          </cell>
          <cell r="DF142">
            <v>2343</v>
          </cell>
          <cell r="DG142">
            <v>2343</v>
          </cell>
          <cell r="DH142">
            <v>2343</v>
          </cell>
          <cell r="DI142">
            <v>2343</v>
          </cell>
          <cell r="DJ142">
            <v>2343</v>
          </cell>
          <cell r="DK142">
            <v>0</v>
          </cell>
          <cell r="DL142">
            <v>0</v>
          </cell>
          <cell r="DM142">
            <v>849268</v>
          </cell>
          <cell r="DN142">
            <v>0</v>
          </cell>
          <cell r="DO142">
            <v>0</v>
          </cell>
          <cell r="DP142" t="str">
            <v>УЖХ</v>
          </cell>
          <cell r="DQ142">
            <v>35520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1155.9000000000001</v>
          </cell>
          <cell r="EJ142">
            <v>61.7</v>
          </cell>
          <cell r="EK142">
            <v>170</v>
          </cell>
          <cell r="EL142">
            <v>170</v>
          </cell>
          <cell r="EM142">
            <v>78.900000000000006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  <cell r="FA142">
            <v>0</v>
          </cell>
          <cell r="FB142">
            <v>0</v>
          </cell>
          <cell r="FC142">
            <v>0</v>
          </cell>
          <cell r="FD142">
            <v>0</v>
          </cell>
          <cell r="FE142">
            <v>0</v>
          </cell>
          <cell r="FF142">
            <v>18.16</v>
          </cell>
          <cell r="FG142">
            <v>18.159988403320313</v>
          </cell>
          <cell r="FH142" t="str">
            <v>С УЛК (ЖЭУ)</v>
          </cell>
          <cell r="FI142">
            <v>43647</v>
          </cell>
          <cell r="FJ142">
            <v>0</v>
          </cell>
          <cell r="FK142">
            <v>0</v>
          </cell>
          <cell r="FL142">
            <v>472.7</v>
          </cell>
          <cell r="FM142">
            <v>78.92</v>
          </cell>
          <cell r="FN142">
            <v>847.44</v>
          </cell>
          <cell r="FO142">
            <v>2542.3200000000002</v>
          </cell>
        </row>
        <row r="143">
          <cell r="AI143" t="str">
            <v>Ул. Альшеевская дом 12/а</v>
          </cell>
          <cell r="AJ143">
            <v>2542.318359375</v>
          </cell>
          <cell r="AK143">
            <v>185.1</v>
          </cell>
          <cell r="AL143">
            <v>103.3</v>
          </cell>
          <cell r="AM143">
            <v>0</v>
          </cell>
          <cell r="AN143">
            <v>0</v>
          </cell>
          <cell r="AO143" t="str">
            <v>АО УЖХ Демского района</v>
          </cell>
          <cell r="AP143">
            <v>185.1</v>
          </cell>
          <cell r="AQ143">
            <v>0</v>
          </cell>
          <cell r="AR143">
            <v>0</v>
          </cell>
          <cell r="AS143">
            <v>0</v>
          </cell>
          <cell r="AT143">
            <v>4</v>
          </cell>
          <cell r="AU143">
            <v>1</v>
          </cell>
          <cell r="AV143">
            <v>7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 t="str">
            <v>Непосредственное</v>
          </cell>
          <cell r="BD143" t="str">
            <v>1. Жилой дом</v>
          </cell>
          <cell r="BE143">
            <v>65.75</v>
          </cell>
          <cell r="BF143" t="str">
            <v>4.Колонка уличная</v>
          </cell>
          <cell r="BG143">
            <v>65.75</v>
          </cell>
          <cell r="BH143" t="str">
            <v>3.Водяной</v>
          </cell>
          <cell r="BI143" t="str">
            <v>МУП УИС</v>
          </cell>
          <cell r="BJ143">
            <v>65.75</v>
          </cell>
          <cell r="BK143">
            <v>65.75</v>
          </cell>
          <cell r="BL143" t="str">
            <v>4.Шлакоблок</v>
          </cell>
          <cell r="BM143">
            <v>21186</v>
          </cell>
          <cell r="BN143">
            <v>21186</v>
          </cell>
          <cell r="BO143" t="str">
            <v>Не оборудован</v>
          </cell>
          <cell r="BP143" t="str">
            <v>1.Абсоцемент(шифер)</v>
          </cell>
          <cell r="BQ143" t="str">
            <v>1.Скатная</v>
          </cell>
          <cell r="BR143">
            <v>220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 t="str">
            <v>3.Частный жилищный фонд</v>
          </cell>
          <cell r="BX143">
            <v>4</v>
          </cell>
          <cell r="BY143">
            <v>0</v>
          </cell>
          <cell r="BZ143" t="str">
            <v>3-я</v>
          </cell>
          <cell r="CA143">
            <v>1</v>
          </cell>
          <cell r="CB143">
            <v>27.01</v>
          </cell>
          <cell r="CC143">
            <v>27.009994506835938</v>
          </cell>
          <cell r="CD143">
            <v>27.009994506835938</v>
          </cell>
          <cell r="CE143">
            <v>27.009994506835938</v>
          </cell>
          <cell r="CF143" t="str">
            <v>ООО "Дёма Комфорт"</v>
          </cell>
          <cell r="CG143">
            <v>4</v>
          </cell>
          <cell r="CH143">
            <v>0</v>
          </cell>
          <cell r="CI143" t="str">
            <v>Дом блокированной застройки</v>
          </cell>
          <cell r="CJ143">
            <v>0</v>
          </cell>
          <cell r="CK143">
            <v>0</v>
          </cell>
          <cell r="CL143">
            <v>0</v>
          </cell>
          <cell r="CM143">
            <v>4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4</v>
          </cell>
          <cell r="CU143">
            <v>0</v>
          </cell>
          <cell r="CV143">
            <v>0</v>
          </cell>
          <cell r="CW143">
            <v>0</v>
          </cell>
          <cell r="CX143">
            <v>1</v>
          </cell>
          <cell r="CY143">
            <v>1</v>
          </cell>
          <cell r="CZ143">
            <v>662</v>
          </cell>
          <cell r="DA143" t="str">
            <v>Демский</v>
          </cell>
          <cell r="DB143" t="str">
            <v>2.Деревянные</v>
          </cell>
          <cell r="DC143">
            <v>662</v>
          </cell>
          <cell r="DD143">
            <v>662</v>
          </cell>
          <cell r="DE143">
            <v>662</v>
          </cell>
          <cell r="DF143">
            <v>662</v>
          </cell>
          <cell r="DG143">
            <v>662</v>
          </cell>
          <cell r="DH143">
            <v>662</v>
          </cell>
          <cell r="DI143">
            <v>662</v>
          </cell>
          <cell r="DJ143">
            <v>662</v>
          </cell>
          <cell r="DK143">
            <v>0</v>
          </cell>
          <cell r="DL143">
            <v>0</v>
          </cell>
          <cell r="DM143">
            <v>177561</v>
          </cell>
          <cell r="DN143">
            <v>0</v>
          </cell>
          <cell r="DO143" t="str">
            <v>Отсутствует</v>
          </cell>
          <cell r="DP143" t="str">
            <v>УЖХ</v>
          </cell>
          <cell r="DQ143">
            <v>36640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1</v>
          </cell>
          <cell r="EC143">
            <v>0</v>
          </cell>
          <cell r="ED143" t="str">
            <v>4. Независимая схема</v>
          </cell>
          <cell r="EE143" t="str">
            <v>Нижний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14.91</v>
          </cell>
          <cell r="FG143">
            <v>14.909996032714844</v>
          </cell>
          <cell r="FH143" t="str">
            <v>С УЛК (ЖЭУ)</v>
          </cell>
          <cell r="FI143">
            <v>43647</v>
          </cell>
          <cell r="FJ143">
            <v>15477</v>
          </cell>
          <cell r="FK143">
            <v>15477</v>
          </cell>
          <cell r="FL143">
            <v>185.1</v>
          </cell>
          <cell r="FM143">
            <v>78.92</v>
          </cell>
          <cell r="FN143">
            <v>108.04</v>
          </cell>
          <cell r="FO143">
            <v>324.12</v>
          </cell>
        </row>
        <row r="144">
          <cell r="AI144" t="str">
            <v>Ул. Левитана дом 39</v>
          </cell>
          <cell r="AJ144">
            <v>324.119873046875</v>
          </cell>
          <cell r="AK144">
            <v>278</v>
          </cell>
          <cell r="AL144">
            <v>195</v>
          </cell>
          <cell r="AM144">
            <v>1</v>
          </cell>
          <cell r="AN144">
            <v>1</v>
          </cell>
          <cell r="AO144" t="str">
            <v>АО УЖХ Демского района</v>
          </cell>
          <cell r="AP144">
            <v>278</v>
          </cell>
          <cell r="AQ144">
            <v>0</v>
          </cell>
          <cell r="AR144">
            <v>20</v>
          </cell>
          <cell r="AS144">
            <v>0</v>
          </cell>
          <cell r="AT144">
            <v>8</v>
          </cell>
          <cell r="AU144">
            <v>2</v>
          </cell>
          <cell r="AV144">
            <v>17</v>
          </cell>
          <cell r="AW144">
            <v>0</v>
          </cell>
          <cell r="AX144">
            <v>0</v>
          </cell>
          <cell r="AY144">
            <v>0</v>
          </cell>
          <cell r="AZ144">
            <v>351.8</v>
          </cell>
          <cell r="BA144">
            <v>2031.7</v>
          </cell>
          <cell r="BB144">
            <v>2031.69921875</v>
          </cell>
          <cell r="BC144" t="str">
            <v>Непосредственное</v>
          </cell>
          <cell r="BD144" t="str">
            <v>1. Жилой дом</v>
          </cell>
          <cell r="BE144">
            <v>52.6</v>
          </cell>
          <cell r="BF144" t="str">
            <v>2.Чёрный</v>
          </cell>
          <cell r="BG144">
            <v>52.5999755859375</v>
          </cell>
          <cell r="BH144" t="str">
            <v>3.Водяной</v>
          </cell>
          <cell r="BI144" t="str">
            <v>МУП УИС</v>
          </cell>
          <cell r="BJ144" t="str">
            <v>1. Чугун</v>
          </cell>
          <cell r="BK144">
            <v>52.5999755859375</v>
          </cell>
          <cell r="BL144" t="str">
            <v>2.Кирпич</v>
          </cell>
          <cell r="BM144">
            <v>21186</v>
          </cell>
          <cell r="BN144">
            <v>21186</v>
          </cell>
          <cell r="BO144" t="str">
            <v>Не оборудован</v>
          </cell>
          <cell r="BP144" t="str">
            <v>8.Профнастил</v>
          </cell>
          <cell r="BQ144" t="str">
            <v>1.Скатная</v>
          </cell>
          <cell r="BR144">
            <v>560</v>
          </cell>
          <cell r="BS144">
            <v>201.6</v>
          </cell>
          <cell r="BT144">
            <v>201.5999755859375</v>
          </cell>
          <cell r="BU144">
            <v>201.5999755859375</v>
          </cell>
          <cell r="BV144">
            <v>0</v>
          </cell>
          <cell r="BW144" t="str">
            <v>3.Частный жилищный фонд</v>
          </cell>
          <cell r="BX144">
            <v>8</v>
          </cell>
          <cell r="BY144">
            <v>0</v>
          </cell>
          <cell r="BZ144" t="str">
            <v>2-я</v>
          </cell>
          <cell r="CA144">
            <v>1</v>
          </cell>
          <cell r="CB144">
            <v>27.01</v>
          </cell>
          <cell r="CC144">
            <v>27.009994506835938</v>
          </cell>
          <cell r="CD144">
            <v>27.009994506835938</v>
          </cell>
          <cell r="CE144">
            <v>27.009994506835938</v>
          </cell>
          <cell r="CF144" t="str">
            <v>ООО "Гранд"</v>
          </cell>
          <cell r="CG144">
            <v>8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8</v>
          </cell>
          <cell r="CN144">
            <v>20</v>
          </cell>
          <cell r="CO144">
            <v>0</v>
          </cell>
          <cell r="CP144">
            <v>221.6</v>
          </cell>
          <cell r="CQ144">
            <v>221.5999755859375</v>
          </cell>
          <cell r="CR144">
            <v>221.5999755859375</v>
          </cell>
          <cell r="CS144">
            <v>0</v>
          </cell>
          <cell r="CT144">
            <v>8</v>
          </cell>
          <cell r="CU144">
            <v>0</v>
          </cell>
          <cell r="CV144">
            <v>0</v>
          </cell>
          <cell r="CW144">
            <v>0</v>
          </cell>
          <cell r="CX144">
            <v>1</v>
          </cell>
          <cell r="CY144">
            <v>1</v>
          </cell>
          <cell r="CZ144">
            <v>1348</v>
          </cell>
          <cell r="DA144" t="str">
            <v>Демский</v>
          </cell>
          <cell r="DB144" t="str">
            <v>2.Деревянные</v>
          </cell>
          <cell r="DC144">
            <v>1348</v>
          </cell>
          <cell r="DD144">
            <v>1348</v>
          </cell>
          <cell r="DE144">
            <v>1348</v>
          </cell>
          <cell r="DF144">
            <v>1348</v>
          </cell>
          <cell r="DG144">
            <v>1348</v>
          </cell>
          <cell r="DH144">
            <v>1348</v>
          </cell>
          <cell r="DI144">
            <v>1348</v>
          </cell>
          <cell r="DJ144">
            <v>1348</v>
          </cell>
          <cell r="DK144">
            <v>0</v>
          </cell>
          <cell r="DL144">
            <v>0</v>
          </cell>
          <cell r="DM144">
            <v>653309</v>
          </cell>
          <cell r="DN144">
            <v>0</v>
          </cell>
          <cell r="DO144">
            <v>0</v>
          </cell>
          <cell r="DP144" t="str">
            <v>ЖРЭУ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 t="str">
            <v>3.Зависимая схема</v>
          </cell>
          <cell r="EE144" t="str">
            <v>Верхний</v>
          </cell>
          <cell r="EF144">
            <v>0</v>
          </cell>
          <cell r="EG144">
            <v>0</v>
          </cell>
          <cell r="EH144">
            <v>0</v>
          </cell>
          <cell r="EI144">
            <v>2031.7</v>
          </cell>
          <cell r="EJ144">
            <v>116</v>
          </cell>
          <cell r="EK144">
            <v>181.4</v>
          </cell>
          <cell r="EL144">
            <v>181.39990234375</v>
          </cell>
          <cell r="EM144">
            <v>54.4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0</v>
          </cell>
          <cell r="FE144">
            <v>0</v>
          </cell>
          <cell r="FF144">
            <v>19.579999999999998</v>
          </cell>
          <cell r="FG144">
            <v>19.579986572265625</v>
          </cell>
          <cell r="FH144" t="str">
            <v>С УЛК (ЖЭУ)</v>
          </cell>
          <cell r="FI144">
            <v>43647</v>
          </cell>
          <cell r="FJ144">
            <v>15477</v>
          </cell>
          <cell r="FK144">
            <v>15477</v>
          </cell>
          <cell r="FL144">
            <v>499.6</v>
          </cell>
          <cell r="FM144">
            <v>78.92</v>
          </cell>
          <cell r="FN144">
            <v>216.08</v>
          </cell>
          <cell r="FO144">
            <v>648.24</v>
          </cell>
        </row>
        <row r="145">
          <cell r="AI145" t="str">
            <v>Ул. Левитана дом 39/а</v>
          </cell>
          <cell r="AJ145">
            <v>648.23974609375</v>
          </cell>
          <cell r="AK145">
            <v>485.1</v>
          </cell>
          <cell r="AL145">
            <v>306.60000000000002</v>
          </cell>
          <cell r="AM145">
            <v>2</v>
          </cell>
          <cell r="AN145">
            <v>2</v>
          </cell>
          <cell r="AO145" t="str">
            <v>АО УЖХ Демского района</v>
          </cell>
          <cell r="AP145">
            <v>487.3</v>
          </cell>
          <cell r="AQ145">
            <v>0</v>
          </cell>
          <cell r="AR145">
            <v>33.4</v>
          </cell>
          <cell r="AS145">
            <v>0</v>
          </cell>
          <cell r="AT145">
            <v>8</v>
          </cell>
          <cell r="AU145">
            <v>2</v>
          </cell>
          <cell r="AV145">
            <v>25</v>
          </cell>
          <cell r="AW145">
            <v>0</v>
          </cell>
          <cell r="AX145">
            <v>0</v>
          </cell>
          <cell r="AY145">
            <v>0</v>
          </cell>
          <cell r="AZ145">
            <v>554.9</v>
          </cell>
          <cell r="BA145">
            <v>775.4</v>
          </cell>
          <cell r="BB145">
            <v>775.39990234375</v>
          </cell>
          <cell r="BC145" t="str">
            <v>Непосредственное</v>
          </cell>
          <cell r="BD145" t="str">
            <v>1. Жилой дом</v>
          </cell>
          <cell r="BE145">
            <v>74.2</v>
          </cell>
          <cell r="BF145" t="str">
            <v>1.Оцинкованный</v>
          </cell>
          <cell r="BG145">
            <v>74.199951171875</v>
          </cell>
          <cell r="BH145" t="str">
            <v>3.Водяной</v>
          </cell>
          <cell r="BI145" t="str">
            <v>МУП УИС</v>
          </cell>
          <cell r="BJ145" t="str">
            <v>2. ПВХ</v>
          </cell>
          <cell r="BK145">
            <v>74.199951171875</v>
          </cell>
          <cell r="BL145" t="str">
            <v>2.Кирпич</v>
          </cell>
          <cell r="BM145">
            <v>11324</v>
          </cell>
          <cell r="BN145">
            <v>11324</v>
          </cell>
          <cell r="BO145" t="str">
            <v>Не оборудован</v>
          </cell>
          <cell r="BP145" t="str">
            <v>8.Профнастил</v>
          </cell>
          <cell r="BQ145" t="str">
            <v>1.Скатная</v>
          </cell>
          <cell r="BR145">
            <v>558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 t="str">
            <v>3.Частный жилищный фонд</v>
          </cell>
          <cell r="BX145">
            <v>8</v>
          </cell>
          <cell r="BY145">
            <v>0</v>
          </cell>
          <cell r="BZ145" t="str">
            <v>2-я</v>
          </cell>
          <cell r="CA145">
            <v>1</v>
          </cell>
          <cell r="CB145">
            <v>27.01</v>
          </cell>
          <cell r="CC145">
            <v>27.009994506835938</v>
          </cell>
          <cell r="CD145">
            <v>27.009994506835938</v>
          </cell>
          <cell r="CE145">
            <v>27.009994506835938</v>
          </cell>
          <cell r="CF145" t="str">
            <v>ООО "Гранд"</v>
          </cell>
          <cell r="CG145">
            <v>8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12</v>
          </cell>
          <cell r="CN145">
            <v>33.4</v>
          </cell>
          <cell r="CO145">
            <v>0</v>
          </cell>
          <cell r="CP145">
            <v>33.4</v>
          </cell>
          <cell r="CQ145">
            <v>33.399993896484375</v>
          </cell>
          <cell r="CR145">
            <v>33.399993896484375</v>
          </cell>
          <cell r="CS145">
            <v>0</v>
          </cell>
          <cell r="CT145">
            <v>8</v>
          </cell>
          <cell r="CU145">
            <v>0</v>
          </cell>
          <cell r="CV145">
            <v>0</v>
          </cell>
          <cell r="CW145">
            <v>0</v>
          </cell>
          <cell r="CX145">
            <v>1</v>
          </cell>
          <cell r="CY145">
            <v>1</v>
          </cell>
          <cell r="CZ145">
            <v>2951</v>
          </cell>
          <cell r="DA145" t="str">
            <v>Демский</v>
          </cell>
          <cell r="DB145" t="str">
            <v>2.Деревянные</v>
          </cell>
          <cell r="DC145">
            <v>2951</v>
          </cell>
          <cell r="DD145">
            <v>2951</v>
          </cell>
          <cell r="DE145">
            <v>2951</v>
          </cell>
          <cell r="DF145">
            <v>2951</v>
          </cell>
          <cell r="DG145">
            <v>2951</v>
          </cell>
          <cell r="DH145">
            <v>2951</v>
          </cell>
          <cell r="DI145">
            <v>2951</v>
          </cell>
          <cell r="DJ145">
            <v>2951</v>
          </cell>
          <cell r="DK145">
            <v>0</v>
          </cell>
          <cell r="DL145">
            <v>0</v>
          </cell>
          <cell r="DM145">
            <v>1088603</v>
          </cell>
          <cell r="DN145">
            <v>0</v>
          </cell>
          <cell r="DO145">
            <v>0</v>
          </cell>
          <cell r="DP145" t="str">
            <v>ЖРЭУ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0</v>
          </cell>
          <cell r="EC145">
            <v>0</v>
          </cell>
          <cell r="ED145" t="str">
            <v>3.Зависимая схема</v>
          </cell>
          <cell r="EE145" t="str">
            <v>Верхний</v>
          </cell>
          <cell r="EF145">
            <v>0</v>
          </cell>
          <cell r="EG145">
            <v>0</v>
          </cell>
          <cell r="EH145">
            <v>0</v>
          </cell>
          <cell r="EI145">
            <v>775.4</v>
          </cell>
          <cell r="EJ145">
            <v>93.9</v>
          </cell>
          <cell r="EK145">
            <v>425.3</v>
          </cell>
          <cell r="EL145">
            <v>425.2998046875</v>
          </cell>
          <cell r="EM145">
            <v>35.700000000000003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0</v>
          </cell>
          <cell r="ET145">
            <v>0</v>
          </cell>
          <cell r="EU145">
            <v>0</v>
          </cell>
          <cell r="EV145">
            <v>0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0</v>
          </cell>
          <cell r="FF145">
            <v>14.7</v>
          </cell>
          <cell r="FG145">
            <v>14.699996948242188</v>
          </cell>
          <cell r="FH145" t="str">
            <v>С УЛК (ЖЭУ)</v>
          </cell>
          <cell r="FI145">
            <v>43647</v>
          </cell>
          <cell r="FJ145">
            <v>15477</v>
          </cell>
          <cell r="FK145">
            <v>15477</v>
          </cell>
          <cell r="FL145">
            <v>518.5</v>
          </cell>
          <cell r="FM145">
            <v>78.92</v>
          </cell>
          <cell r="FN145">
            <v>216.08</v>
          </cell>
          <cell r="FO145">
            <v>648.24</v>
          </cell>
        </row>
        <row r="146">
          <cell r="AI146" t="str">
            <v>Ул. Левитана дом 41</v>
          </cell>
          <cell r="AJ146">
            <v>648.23974609375</v>
          </cell>
          <cell r="AK146">
            <v>491.8</v>
          </cell>
          <cell r="AL146">
            <v>491.1</v>
          </cell>
          <cell r="AM146">
            <v>1</v>
          </cell>
          <cell r="AN146">
            <v>1</v>
          </cell>
          <cell r="AO146" t="str">
            <v>АО УЖХ Демского района</v>
          </cell>
          <cell r="AP146">
            <v>398.2</v>
          </cell>
          <cell r="AQ146">
            <v>93.6</v>
          </cell>
          <cell r="AR146">
            <v>61.3</v>
          </cell>
          <cell r="AS146">
            <v>119.6</v>
          </cell>
          <cell r="AT146">
            <v>29</v>
          </cell>
          <cell r="AU146">
            <v>2</v>
          </cell>
          <cell r="AV146">
            <v>46</v>
          </cell>
          <cell r="AW146">
            <v>0</v>
          </cell>
          <cell r="AX146">
            <v>0</v>
          </cell>
          <cell r="AY146">
            <v>0</v>
          </cell>
          <cell r="AZ146">
            <v>329.8</v>
          </cell>
          <cell r="BA146">
            <v>396.4</v>
          </cell>
          <cell r="BB146">
            <v>396.39990234375</v>
          </cell>
          <cell r="BC146" t="str">
            <v>Непосредственное</v>
          </cell>
          <cell r="BD146" t="str">
            <v>3.Общежитие</v>
          </cell>
          <cell r="BE146">
            <v>56.6</v>
          </cell>
          <cell r="BF146" t="str">
            <v>2.Чёрный</v>
          </cell>
          <cell r="BG146" t="str">
            <v>2.Чёрный</v>
          </cell>
          <cell r="BH146" t="str">
            <v>3.Водяной</v>
          </cell>
          <cell r="BI146" t="str">
            <v>МУП УИС</v>
          </cell>
          <cell r="BJ146" t="str">
            <v>1. Чугун</v>
          </cell>
          <cell r="BK146">
            <v>56.5999755859375</v>
          </cell>
          <cell r="BL146" t="str">
            <v>2.Кирпич</v>
          </cell>
          <cell r="BM146">
            <v>19360</v>
          </cell>
          <cell r="BN146">
            <v>19360</v>
          </cell>
          <cell r="BO146" t="str">
            <v>Оборудован</v>
          </cell>
          <cell r="BP146" t="str">
            <v>1.Абсоцемент(шифер)</v>
          </cell>
          <cell r="BQ146" t="str">
            <v>1.Скатная</v>
          </cell>
          <cell r="BR146">
            <v>328.3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 t="str">
            <v>3.Частный жилищный фонд</v>
          </cell>
          <cell r="BX146">
            <v>0</v>
          </cell>
          <cell r="BY146">
            <v>29</v>
          </cell>
          <cell r="BZ146" t="str">
            <v>2-я</v>
          </cell>
          <cell r="CA146">
            <v>1</v>
          </cell>
          <cell r="CB146">
            <v>27.01</v>
          </cell>
          <cell r="CC146">
            <v>27.009994506835938</v>
          </cell>
          <cell r="CD146">
            <v>27.009994506835938</v>
          </cell>
          <cell r="CE146">
            <v>27.009994506835938</v>
          </cell>
          <cell r="CF146" t="str">
            <v>ООО "Гранд"</v>
          </cell>
          <cell r="CG146">
            <v>24</v>
          </cell>
          <cell r="CH146">
            <v>5</v>
          </cell>
          <cell r="CI146" t="str">
            <v>Общежитие Коридорный тип</v>
          </cell>
          <cell r="CJ146">
            <v>5</v>
          </cell>
          <cell r="CK146">
            <v>0</v>
          </cell>
          <cell r="CL146">
            <v>1</v>
          </cell>
          <cell r="CM146">
            <v>29</v>
          </cell>
          <cell r="CN146">
            <v>180.9</v>
          </cell>
          <cell r="CO146">
            <v>180.9</v>
          </cell>
          <cell r="CP146">
            <v>180.9</v>
          </cell>
          <cell r="CQ146">
            <v>180.89990234375</v>
          </cell>
          <cell r="CR146">
            <v>180.89990234375</v>
          </cell>
          <cell r="CS146">
            <v>1</v>
          </cell>
          <cell r="CT146">
            <v>29</v>
          </cell>
          <cell r="CU146">
            <v>0</v>
          </cell>
          <cell r="CV146">
            <v>0</v>
          </cell>
          <cell r="CW146">
            <v>0</v>
          </cell>
          <cell r="CX146">
            <v>1</v>
          </cell>
          <cell r="CY146">
            <v>1</v>
          </cell>
          <cell r="CZ146">
            <v>3337</v>
          </cell>
          <cell r="DA146" t="str">
            <v>Демский</v>
          </cell>
          <cell r="DB146" t="str">
            <v>3.Сборные ж/б панели</v>
          </cell>
          <cell r="DC146">
            <v>3337</v>
          </cell>
          <cell r="DD146">
            <v>1</v>
          </cell>
          <cell r="DE146">
            <v>13366</v>
          </cell>
          <cell r="DF146" t="str">
            <v>Пластинчатый</v>
          </cell>
          <cell r="DG146" t="str">
            <v>ГВС</v>
          </cell>
          <cell r="DH146" t="str">
            <v>АНО ЦЭС ЮГ</v>
          </cell>
          <cell r="DI146">
            <v>13366</v>
          </cell>
          <cell r="DJ146">
            <v>13366</v>
          </cell>
          <cell r="DK146">
            <v>13366</v>
          </cell>
          <cell r="DL146">
            <v>1</v>
          </cell>
          <cell r="DM146">
            <v>891969</v>
          </cell>
          <cell r="DN146">
            <v>1</v>
          </cell>
          <cell r="DO146" t="str">
            <v>Отопление</v>
          </cell>
          <cell r="DP146" t="str">
            <v>УЖХ</v>
          </cell>
          <cell r="DQ146">
            <v>38392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9</v>
          </cell>
          <cell r="DW146">
            <v>48.5</v>
          </cell>
          <cell r="DX146">
            <v>39.200000000000003</v>
          </cell>
          <cell r="DY146">
            <v>39.199981689453125</v>
          </cell>
          <cell r="DZ146">
            <v>119.6</v>
          </cell>
          <cell r="EA146">
            <v>119.5999755859375</v>
          </cell>
          <cell r="EB146">
            <v>0</v>
          </cell>
          <cell r="EC146">
            <v>0</v>
          </cell>
          <cell r="ED146" t="str">
            <v>3.Зависимая схема</v>
          </cell>
          <cell r="EE146" t="str">
            <v>Верхний</v>
          </cell>
          <cell r="EF146">
            <v>0</v>
          </cell>
          <cell r="EG146">
            <v>0</v>
          </cell>
          <cell r="EH146">
            <v>396.4</v>
          </cell>
          <cell r="EI146">
            <v>0</v>
          </cell>
          <cell r="EJ146">
            <v>0</v>
          </cell>
          <cell r="EK146">
            <v>329.8</v>
          </cell>
          <cell r="EL146">
            <v>329.7998046875</v>
          </cell>
          <cell r="EM146">
            <v>329.7998046875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0</v>
          </cell>
          <cell r="ET146">
            <v>0</v>
          </cell>
          <cell r="EU146">
            <v>0</v>
          </cell>
          <cell r="EV146">
            <v>0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17.78</v>
          </cell>
          <cell r="FG146">
            <v>17.779998779296875</v>
          </cell>
          <cell r="FH146" t="str">
            <v>С УЛК (ЖЭУ)</v>
          </cell>
          <cell r="FI146">
            <v>43466</v>
          </cell>
          <cell r="FJ146">
            <v>15477</v>
          </cell>
          <cell r="FK146">
            <v>15477</v>
          </cell>
          <cell r="FL146">
            <v>672.7</v>
          </cell>
          <cell r="FM146">
            <v>78.92</v>
          </cell>
          <cell r="FN146">
            <v>783.29000000000008</v>
          </cell>
          <cell r="FO146">
            <v>783.29000000000008</v>
          </cell>
        </row>
        <row r="147">
          <cell r="AI147" t="str">
            <v>Ул. Альшеевская дом 14</v>
          </cell>
          <cell r="AJ147">
            <v>783.28955078125</v>
          </cell>
          <cell r="AK147">
            <v>466.4</v>
          </cell>
          <cell r="AL147">
            <v>302.5</v>
          </cell>
          <cell r="AM147">
            <v>1</v>
          </cell>
          <cell r="AN147">
            <v>1</v>
          </cell>
          <cell r="AO147" t="str">
            <v>АО УЖХ Демского района</v>
          </cell>
          <cell r="AP147">
            <v>412.8</v>
          </cell>
          <cell r="AQ147">
            <v>53.1</v>
          </cell>
          <cell r="AR147">
            <v>44.4</v>
          </cell>
          <cell r="AS147">
            <v>4.9000000000000004</v>
          </cell>
          <cell r="AT147">
            <v>8</v>
          </cell>
          <cell r="AU147">
            <v>2</v>
          </cell>
          <cell r="AV147">
            <v>24</v>
          </cell>
          <cell r="AW147">
            <v>0</v>
          </cell>
          <cell r="AX147">
            <v>0</v>
          </cell>
          <cell r="AY147">
            <v>0</v>
          </cell>
          <cell r="AZ147">
            <v>230.8</v>
          </cell>
          <cell r="BA147">
            <v>1414.8</v>
          </cell>
          <cell r="BB147">
            <v>1414.7998046875</v>
          </cell>
          <cell r="BC147" t="str">
            <v>Непосредственное</v>
          </cell>
          <cell r="BD147" t="str">
            <v>1. Жилой дом</v>
          </cell>
          <cell r="BE147">
            <v>65.75</v>
          </cell>
          <cell r="BF147" t="str">
            <v>2.Чёрный</v>
          </cell>
          <cell r="BG147">
            <v>65.75</v>
          </cell>
          <cell r="BH147" t="str">
            <v>1.АОГВ</v>
          </cell>
          <cell r="BI147">
            <v>65.75</v>
          </cell>
          <cell r="BJ147" t="str">
            <v>1. Чугун</v>
          </cell>
          <cell r="BK147">
            <v>65.75</v>
          </cell>
          <cell r="BL147" t="str">
            <v>4.Шлакоблок</v>
          </cell>
          <cell r="BM147">
            <v>21186</v>
          </cell>
          <cell r="BN147">
            <v>21186</v>
          </cell>
          <cell r="BO147" t="str">
            <v>Не оборудован</v>
          </cell>
          <cell r="BP147" t="str">
            <v>1.Абсоцемент(шифер)</v>
          </cell>
          <cell r="BQ147" t="str">
            <v>1.Скатная</v>
          </cell>
          <cell r="BR147">
            <v>449.2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 t="str">
            <v>3.Частный жилищный фонд</v>
          </cell>
          <cell r="BX147">
            <v>8</v>
          </cell>
          <cell r="BY147">
            <v>0</v>
          </cell>
          <cell r="BZ147" t="str">
            <v>3-я</v>
          </cell>
          <cell r="CA147">
            <v>1</v>
          </cell>
          <cell r="CB147">
            <v>27.01</v>
          </cell>
          <cell r="CC147">
            <v>1</v>
          </cell>
          <cell r="CD147">
            <v>1</v>
          </cell>
          <cell r="CE147">
            <v>1</v>
          </cell>
          <cell r="CF147" t="str">
            <v>ООО "Дёма Комфорт"</v>
          </cell>
          <cell r="CG147">
            <v>7</v>
          </cell>
          <cell r="CH147">
            <v>1</v>
          </cell>
          <cell r="CI147">
            <v>1</v>
          </cell>
          <cell r="CJ147">
            <v>1</v>
          </cell>
          <cell r="CK147">
            <v>0</v>
          </cell>
          <cell r="CL147">
            <v>0</v>
          </cell>
          <cell r="CM147">
            <v>8</v>
          </cell>
          <cell r="CN147">
            <v>49.3</v>
          </cell>
          <cell r="CO147">
            <v>0</v>
          </cell>
          <cell r="CP147">
            <v>49.3</v>
          </cell>
          <cell r="CQ147">
            <v>49.29998779296875</v>
          </cell>
          <cell r="CR147">
            <v>49.29998779296875</v>
          </cell>
          <cell r="CS147">
            <v>0</v>
          </cell>
          <cell r="CT147">
            <v>8</v>
          </cell>
          <cell r="CU147">
            <v>0</v>
          </cell>
          <cell r="CV147">
            <v>0</v>
          </cell>
          <cell r="CW147">
            <v>0</v>
          </cell>
          <cell r="CX147">
            <v>1</v>
          </cell>
          <cell r="CY147">
            <v>1</v>
          </cell>
          <cell r="CZ147">
            <v>2280</v>
          </cell>
          <cell r="DA147" t="str">
            <v>Демский</v>
          </cell>
          <cell r="DB147" t="str">
            <v>2.Деревянные</v>
          </cell>
          <cell r="DC147">
            <v>2280</v>
          </cell>
          <cell r="DD147">
            <v>2280</v>
          </cell>
          <cell r="DE147">
            <v>2280</v>
          </cell>
          <cell r="DF147">
            <v>2280</v>
          </cell>
          <cell r="DG147">
            <v>2280</v>
          </cell>
          <cell r="DH147">
            <v>2280</v>
          </cell>
          <cell r="DI147">
            <v>2280</v>
          </cell>
          <cell r="DJ147">
            <v>2280</v>
          </cell>
          <cell r="DK147">
            <v>0</v>
          </cell>
          <cell r="DL147">
            <v>0</v>
          </cell>
          <cell r="DM147">
            <v>870292</v>
          </cell>
          <cell r="DN147">
            <v>0</v>
          </cell>
          <cell r="DO147">
            <v>0</v>
          </cell>
          <cell r="DP147" t="str">
            <v>УЖХ</v>
          </cell>
          <cell r="DQ147">
            <v>35520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0</v>
          </cell>
          <cell r="EF147">
            <v>0</v>
          </cell>
          <cell r="EG147">
            <v>0</v>
          </cell>
          <cell r="EH147">
            <v>0</v>
          </cell>
          <cell r="EI147">
            <v>1414.8</v>
          </cell>
          <cell r="EJ147">
            <v>82</v>
          </cell>
          <cell r="EK147">
            <v>88</v>
          </cell>
          <cell r="EL147">
            <v>88</v>
          </cell>
          <cell r="EM147">
            <v>60.8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0</v>
          </cell>
          <cell r="ET147">
            <v>0</v>
          </cell>
          <cell r="EU147">
            <v>0</v>
          </cell>
          <cell r="EV147">
            <v>0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14.39</v>
          </cell>
          <cell r="FG147">
            <v>14.389999389648438</v>
          </cell>
          <cell r="FH147" t="str">
            <v>С УЛК (ЖЭУ)</v>
          </cell>
          <cell r="FI147">
            <v>43647</v>
          </cell>
          <cell r="FJ147">
            <v>0</v>
          </cell>
          <cell r="FK147">
            <v>0</v>
          </cell>
          <cell r="FL147">
            <v>515.70000000000005</v>
          </cell>
          <cell r="FM147">
            <v>78.92</v>
          </cell>
          <cell r="FN147">
            <v>847.44</v>
          </cell>
          <cell r="FO147">
            <v>2542.3200000000002</v>
          </cell>
        </row>
        <row r="148">
          <cell r="AI148" t="str">
            <v>Ул. Альшеевская дом 14/а</v>
          </cell>
          <cell r="AJ148">
            <v>2542.318359375</v>
          </cell>
          <cell r="AK148">
            <v>143.19999999999999</v>
          </cell>
          <cell r="AL148">
            <v>76.900000000000006</v>
          </cell>
          <cell r="AM148">
            <v>0</v>
          </cell>
          <cell r="AN148">
            <v>0</v>
          </cell>
          <cell r="AO148" t="str">
            <v>АО УЖХ Демского района</v>
          </cell>
          <cell r="AP148">
            <v>116.9</v>
          </cell>
          <cell r="AQ148">
            <v>26.3</v>
          </cell>
          <cell r="AR148">
            <v>0</v>
          </cell>
          <cell r="AS148">
            <v>0</v>
          </cell>
          <cell r="AT148">
            <v>4</v>
          </cell>
          <cell r="AU148">
            <v>1</v>
          </cell>
          <cell r="AV148">
            <v>8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>Непосредственное</v>
          </cell>
          <cell r="BD148" t="str">
            <v>1. Жилой дом</v>
          </cell>
          <cell r="BE148">
            <v>65.75</v>
          </cell>
          <cell r="BF148" t="str">
            <v>2.Чёрный</v>
          </cell>
          <cell r="BG148" t="str">
            <v>2.Чёрный</v>
          </cell>
          <cell r="BH148" t="str">
            <v>3.Водяной</v>
          </cell>
          <cell r="BI148" t="str">
            <v>МУП УИС</v>
          </cell>
          <cell r="BJ148" t="str">
            <v>1. Чугун</v>
          </cell>
          <cell r="BK148">
            <v>65.75</v>
          </cell>
          <cell r="BL148" t="str">
            <v>4.Шлакоблок</v>
          </cell>
          <cell r="BM148">
            <v>21186</v>
          </cell>
          <cell r="BN148">
            <v>21186</v>
          </cell>
          <cell r="BO148" t="str">
            <v>Не оборудован</v>
          </cell>
          <cell r="BP148" t="str">
            <v>1.Абсоцемент(шифер)</v>
          </cell>
          <cell r="BQ148" t="str">
            <v>1.Скатная</v>
          </cell>
          <cell r="BR148">
            <v>220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 t="str">
            <v>3.Частный жилищный фонд</v>
          </cell>
          <cell r="BX148">
            <v>4</v>
          </cell>
          <cell r="BY148">
            <v>0</v>
          </cell>
          <cell r="BZ148" t="str">
            <v>3-я</v>
          </cell>
          <cell r="CA148">
            <v>1</v>
          </cell>
          <cell r="CB148">
            <v>27.01</v>
          </cell>
          <cell r="CC148">
            <v>27.009994506835938</v>
          </cell>
          <cell r="CD148">
            <v>27.009994506835938</v>
          </cell>
          <cell r="CE148">
            <v>27.009994506835938</v>
          </cell>
          <cell r="CF148" t="str">
            <v>ООО "Дёма Комфорт"</v>
          </cell>
          <cell r="CG148">
            <v>3</v>
          </cell>
          <cell r="CH148">
            <v>1</v>
          </cell>
          <cell r="CI148" t="str">
            <v>Дом блокированной застройки</v>
          </cell>
          <cell r="CJ148">
            <v>1</v>
          </cell>
          <cell r="CK148">
            <v>0</v>
          </cell>
          <cell r="CL148">
            <v>0</v>
          </cell>
          <cell r="CM148">
            <v>4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4</v>
          </cell>
          <cell r="CU148">
            <v>0</v>
          </cell>
          <cell r="CV148">
            <v>0</v>
          </cell>
          <cell r="CW148">
            <v>0</v>
          </cell>
          <cell r="CX148">
            <v>1</v>
          </cell>
          <cell r="CY148">
            <v>1</v>
          </cell>
          <cell r="CZ148">
            <v>506</v>
          </cell>
          <cell r="DA148" t="str">
            <v>Демский</v>
          </cell>
          <cell r="DB148" t="str">
            <v>2.Деревянные</v>
          </cell>
          <cell r="DC148">
            <v>506</v>
          </cell>
          <cell r="DD148">
            <v>506</v>
          </cell>
          <cell r="DE148">
            <v>506</v>
          </cell>
          <cell r="DF148">
            <v>506</v>
          </cell>
          <cell r="DG148">
            <v>506</v>
          </cell>
          <cell r="DH148">
            <v>506</v>
          </cell>
          <cell r="DI148">
            <v>506</v>
          </cell>
          <cell r="DJ148">
            <v>506</v>
          </cell>
          <cell r="DK148">
            <v>0</v>
          </cell>
          <cell r="DL148">
            <v>0</v>
          </cell>
          <cell r="DM148">
            <v>129390</v>
          </cell>
          <cell r="DN148">
            <v>0</v>
          </cell>
          <cell r="DO148">
            <v>0</v>
          </cell>
          <cell r="DP148" t="str">
            <v>УЖХ</v>
          </cell>
          <cell r="DQ148">
            <v>36640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  <cell r="EB148">
            <v>1</v>
          </cell>
          <cell r="EC148">
            <v>0</v>
          </cell>
          <cell r="ED148" t="str">
            <v>4. Независимая схема</v>
          </cell>
          <cell r="EE148" t="str">
            <v>Нижний</v>
          </cell>
          <cell r="EF148">
            <v>0</v>
          </cell>
          <cell r="EG148">
            <v>0</v>
          </cell>
          <cell r="EH148">
            <v>0</v>
          </cell>
          <cell r="EI148">
            <v>0</v>
          </cell>
          <cell r="EJ148">
            <v>0</v>
          </cell>
          <cell r="EK148">
            <v>0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  <cell r="EQ148">
            <v>0</v>
          </cell>
          <cell r="ER148">
            <v>0</v>
          </cell>
          <cell r="ES148">
            <v>0</v>
          </cell>
          <cell r="ET148">
            <v>0</v>
          </cell>
          <cell r="EU148">
            <v>0</v>
          </cell>
          <cell r="EV148">
            <v>0</v>
          </cell>
          <cell r="EW148">
            <v>0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0</v>
          </cell>
          <cell r="FD148">
            <v>0</v>
          </cell>
          <cell r="FE148">
            <v>0</v>
          </cell>
          <cell r="FF148">
            <v>16.86</v>
          </cell>
          <cell r="FG148">
            <v>16.8599853515625</v>
          </cell>
          <cell r="FH148" t="str">
            <v>С УЛК (ЖЭУ)</v>
          </cell>
          <cell r="FI148">
            <v>43647</v>
          </cell>
          <cell r="FJ148">
            <v>15477</v>
          </cell>
          <cell r="FK148">
            <v>15477</v>
          </cell>
          <cell r="FL148">
            <v>143.19999999999999</v>
          </cell>
          <cell r="FM148">
            <v>78.92</v>
          </cell>
          <cell r="FN148">
            <v>108.04</v>
          </cell>
          <cell r="FO148">
            <v>324.12</v>
          </cell>
        </row>
        <row r="149">
          <cell r="AI149" t="str">
            <v>Ул. Альшеевская дом 20/а</v>
          </cell>
          <cell r="AJ149">
            <v>324.119873046875</v>
          </cell>
          <cell r="AK149">
            <v>163.5</v>
          </cell>
          <cell r="AL149">
            <v>114.2</v>
          </cell>
          <cell r="AM149">
            <v>0</v>
          </cell>
          <cell r="AN149">
            <v>0</v>
          </cell>
          <cell r="AO149" t="str">
            <v>АО УЖХ Демского района</v>
          </cell>
          <cell r="AP149">
            <v>163.5</v>
          </cell>
          <cell r="AQ149">
            <v>0</v>
          </cell>
          <cell r="AR149">
            <v>0</v>
          </cell>
          <cell r="AS149">
            <v>0</v>
          </cell>
          <cell r="AT149">
            <v>4</v>
          </cell>
          <cell r="AU149">
            <v>1</v>
          </cell>
          <cell r="AV149">
            <v>11</v>
          </cell>
          <cell r="AW149">
            <v>0</v>
          </cell>
          <cell r="AX149">
            <v>0</v>
          </cell>
          <cell r="AY149">
            <v>0</v>
          </cell>
          <cell r="AZ149">
            <v>32.1</v>
          </cell>
          <cell r="BA149">
            <v>213.45</v>
          </cell>
          <cell r="BB149">
            <v>213.449951171875</v>
          </cell>
          <cell r="BC149" t="str">
            <v>Непосредственное</v>
          </cell>
          <cell r="BD149" t="str">
            <v>1. Жилой дом</v>
          </cell>
          <cell r="BE149">
            <v>51</v>
          </cell>
          <cell r="BF149" t="str">
            <v>4.Колонка уличная</v>
          </cell>
          <cell r="BG149">
            <v>51</v>
          </cell>
          <cell r="BH149" t="str">
            <v>3.Водяной</v>
          </cell>
          <cell r="BI149" t="str">
            <v>МУП УИС</v>
          </cell>
          <cell r="BJ149">
            <v>51</v>
          </cell>
          <cell r="BK149">
            <v>51</v>
          </cell>
          <cell r="BL149" t="str">
            <v>2.Кирпич</v>
          </cell>
          <cell r="BM149">
            <v>21916</v>
          </cell>
          <cell r="BN149">
            <v>21916</v>
          </cell>
          <cell r="BO149" t="str">
            <v>Не оборудован</v>
          </cell>
          <cell r="BP149" t="str">
            <v>1.Абсоцемент(шифер)</v>
          </cell>
          <cell r="BQ149" t="str">
            <v>1.Скатная</v>
          </cell>
          <cell r="BR149">
            <v>280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 t="str">
            <v>3.Частный жилищный фонд</v>
          </cell>
          <cell r="BX149">
            <v>4</v>
          </cell>
          <cell r="BY149">
            <v>0</v>
          </cell>
          <cell r="BZ149" t="str">
            <v>2-я</v>
          </cell>
          <cell r="CA149">
            <v>1</v>
          </cell>
          <cell r="CB149">
            <v>27.01</v>
          </cell>
          <cell r="CC149">
            <v>27.009994506835938</v>
          </cell>
          <cell r="CD149">
            <v>27.009994506835938</v>
          </cell>
          <cell r="CE149">
            <v>27.009994506835938</v>
          </cell>
          <cell r="CF149" t="str">
            <v>ООО "Дёма Комфорт"</v>
          </cell>
          <cell r="CG149">
            <v>4</v>
          </cell>
          <cell r="CH149">
            <v>0</v>
          </cell>
          <cell r="CI149" t="str">
            <v>Дом блокированной застройки</v>
          </cell>
          <cell r="CJ149">
            <v>0</v>
          </cell>
          <cell r="CK149">
            <v>0</v>
          </cell>
          <cell r="CL149">
            <v>0</v>
          </cell>
          <cell r="CM149">
            <v>4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4</v>
          </cell>
          <cell r="CU149">
            <v>0</v>
          </cell>
          <cell r="CV149">
            <v>0</v>
          </cell>
          <cell r="CW149">
            <v>0</v>
          </cell>
          <cell r="CX149">
            <v>1</v>
          </cell>
          <cell r="CY149">
            <v>1</v>
          </cell>
          <cell r="CZ149">
            <v>625</v>
          </cell>
          <cell r="DA149" t="str">
            <v>Демский</v>
          </cell>
          <cell r="DB149" t="str">
            <v>2.Деревянные</v>
          </cell>
          <cell r="DC149">
            <v>625</v>
          </cell>
          <cell r="DD149">
            <v>625</v>
          </cell>
          <cell r="DE149">
            <v>625</v>
          </cell>
          <cell r="DF149">
            <v>625</v>
          </cell>
          <cell r="DG149">
            <v>625</v>
          </cell>
          <cell r="DH149">
            <v>625</v>
          </cell>
          <cell r="DI149">
            <v>625</v>
          </cell>
          <cell r="DJ149">
            <v>625</v>
          </cell>
          <cell r="DK149">
            <v>0</v>
          </cell>
          <cell r="DL149">
            <v>0</v>
          </cell>
          <cell r="DM149">
            <v>150567</v>
          </cell>
          <cell r="DN149">
            <v>0</v>
          </cell>
          <cell r="DO149" t="str">
            <v>Отсутствует</v>
          </cell>
          <cell r="DP149" t="str">
            <v>УЖХ</v>
          </cell>
          <cell r="DQ149">
            <v>39507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2</v>
          </cell>
          <cell r="EC149">
            <v>0</v>
          </cell>
          <cell r="ED149" t="str">
            <v>4. Независимая схема</v>
          </cell>
          <cell r="EE149" t="str">
            <v>Нижний</v>
          </cell>
          <cell r="EF149">
            <v>0</v>
          </cell>
          <cell r="EG149">
            <v>0</v>
          </cell>
          <cell r="EH149">
            <v>0</v>
          </cell>
          <cell r="EI149">
            <v>213.45</v>
          </cell>
          <cell r="EJ149">
            <v>32.1</v>
          </cell>
          <cell r="EK149">
            <v>32.0999755859375</v>
          </cell>
          <cell r="EL149">
            <v>32.0999755859375</v>
          </cell>
          <cell r="EM149">
            <v>32.0999755859375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0</v>
          </cell>
          <cell r="ET149">
            <v>0</v>
          </cell>
          <cell r="EU149">
            <v>0</v>
          </cell>
          <cell r="EV149">
            <v>0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15.22</v>
          </cell>
          <cell r="FG149">
            <v>15.219993591308594</v>
          </cell>
          <cell r="FH149" t="str">
            <v>С УЛК (ЖЭУ)</v>
          </cell>
          <cell r="FI149">
            <v>43647</v>
          </cell>
          <cell r="FJ149">
            <v>15477</v>
          </cell>
          <cell r="FK149">
            <v>0</v>
          </cell>
          <cell r="FL149">
            <v>163.5</v>
          </cell>
          <cell r="FM149">
            <v>78.92</v>
          </cell>
          <cell r="FN149">
            <v>108.04</v>
          </cell>
          <cell r="FO149">
            <v>324.12</v>
          </cell>
        </row>
        <row r="150">
          <cell r="AI150" t="str">
            <v>Ул. Левитана дом 41/а</v>
          </cell>
          <cell r="AJ150">
            <v>324.119873046875</v>
          </cell>
          <cell r="AK150">
            <v>465.3</v>
          </cell>
          <cell r="AL150">
            <v>297.89999999999998</v>
          </cell>
          <cell r="AM150">
            <v>2</v>
          </cell>
          <cell r="AN150">
            <v>2</v>
          </cell>
          <cell r="AO150" t="str">
            <v>АО УЖХ Демского района</v>
          </cell>
          <cell r="AP150">
            <v>413.4</v>
          </cell>
          <cell r="AQ150">
            <v>52</v>
          </cell>
          <cell r="AR150">
            <v>58.5</v>
          </cell>
          <cell r="AS150">
            <v>0</v>
          </cell>
          <cell r="AT150">
            <v>8</v>
          </cell>
          <cell r="AU150">
            <v>2</v>
          </cell>
          <cell r="AV150">
            <v>27</v>
          </cell>
          <cell r="AW150">
            <v>0</v>
          </cell>
          <cell r="AX150">
            <v>0</v>
          </cell>
          <cell r="AY150">
            <v>0</v>
          </cell>
          <cell r="AZ150">
            <v>340.7</v>
          </cell>
          <cell r="BA150">
            <v>1948.2</v>
          </cell>
          <cell r="BB150">
            <v>1948.19921875</v>
          </cell>
          <cell r="BC150" t="str">
            <v>Непосредственное</v>
          </cell>
          <cell r="BD150" t="str">
            <v>1. Жилой дом</v>
          </cell>
          <cell r="BE150">
            <v>74.2</v>
          </cell>
          <cell r="BF150" t="str">
            <v>2.Чёрный</v>
          </cell>
          <cell r="BG150">
            <v>74.199951171875</v>
          </cell>
          <cell r="BH150" t="str">
            <v>3.Водяной</v>
          </cell>
          <cell r="BI150" t="str">
            <v>МУП УИС</v>
          </cell>
          <cell r="BJ150" t="str">
            <v>1. Чугун</v>
          </cell>
          <cell r="BK150">
            <v>74.199951171875</v>
          </cell>
          <cell r="BL150" t="str">
            <v>2.Кирпич</v>
          </cell>
          <cell r="BM150">
            <v>11324</v>
          </cell>
          <cell r="BN150">
            <v>11324</v>
          </cell>
          <cell r="BO150" t="str">
            <v>Не оборудован</v>
          </cell>
          <cell r="BP150" t="str">
            <v>1.Абсоцемент(шифер)</v>
          </cell>
          <cell r="BQ150" t="str">
            <v>1.Скатная</v>
          </cell>
          <cell r="BR150">
            <v>476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 t="str">
            <v>3.Частный жилищный фонд</v>
          </cell>
          <cell r="BX150">
            <v>8</v>
          </cell>
          <cell r="BY150">
            <v>0</v>
          </cell>
          <cell r="BZ150" t="str">
            <v>2-я</v>
          </cell>
          <cell r="CA150">
            <v>1</v>
          </cell>
          <cell r="CB150">
            <v>27.01</v>
          </cell>
          <cell r="CC150">
            <v>1</v>
          </cell>
          <cell r="CD150">
            <v>1</v>
          </cell>
          <cell r="CE150">
            <v>1</v>
          </cell>
          <cell r="CF150" t="str">
            <v>ООО "Гранд"</v>
          </cell>
          <cell r="CG150">
            <v>7</v>
          </cell>
          <cell r="CH150">
            <v>1</v>
          </cell>
          <cell r="CI150">
            <v>1</v>
          </cell>
          <cell r="CJ150">
            <v>1</v>
          </cell>
          <cell r="CK150">
            <v>0</v>
          </cell>
          <cell r="CL150">
            <v>0</v>
          </cell>
          <cell r="CM150">
            <v>10</v>
          </cell>
          <cell r="CN150">
            <v>58.5</v>
          </cell>
          <cell r="CO150">
            <v>0</v>
          </cell>
          <cell r="CP150">
            <v>58.5</v>
          </cell>
          <cell r="CQ150">
            <v>58.5</v>
          </cell>
          <cell r="CR150">
            <v>58.5</v>
          </cell>
          <cell r="CS150">
            <v>0</v>
          </cell>
          <cell r="CT150">
            <v>8</v>
          </cell>
          <cell r="CU150">
            <v>0</v>
          </cell>
          <cell r="CV150">
            <v>0</v>
          </cell>
          <cell r="CW150">
            <v>0</v>
          </cell>
          <cell r="CX150">
            <v>1</v>
          </cell>
          <cell r="CY150">
            <v>1</v>
          </cell>
          <cell r="CZ150">
            <v>2712</v>
          </cell>
          <cell r="DA150" t="str">
            <v>Демский</v>
          </cell>
          <cell r="DB150" t="str">
            <v>2.Деревянные</v>
          </cell>
          <cell r="DC150">
            <v>2712</v>
          </cell>
          <cell r="DD150">
            <v>2712</v>
          </cell>
          <cell r="DE150">
            <v>2712</v>
          </cell>
          <cell r="DF150">
            <v>2712</v>
          </cell>
          <cell r="DG150">
            <v>2712</v>
          </cell>
          <cell r="DH150">
            <v>2712</v>
          </cell>
          <cell r="DI150">
            <v>2712</v>
          </cell>
          <cell r="DJ150">
            <v>2712</v>
          </cell>
          <cell r="DK150">
            <v>0</v>
          </cell>
          <cell r="DL150">
            <v>0</v>
          </cell>
          <cell r="DM150">
            <v>1003034</v>
          </cell>
          <cell r="DN150">
            <v>0</v>
          </cell>
          <cell r="DO150">
            <v>0</v>
          </cell>
          <cell r="DP150" t="str">
            <v>УЖХ</v>
          </cell>
          <cell r="DQ150">
            <v>38517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 t="str">
            <v>3.Зависимая схема</v>
          </cell>
          <cell r="EE150" t="str">
            <v>Верхний</v>
          </cell>
          <cell r="EF150">
            <v>0</v>
          </cell>
          <cell r="EG150">
            <v>0</v>
          </cell>
          <cell r="EH150">
            <v>0</v>
          </cell>
          <cell r="EI150">
            <v>1948.2</v>
          </cell>
          <cell r="EJ150">
            <v>9.6</v>
          </cell>
          <cell r="EK150">
            <v>184.5</v>
          </cell>
          <cell r="EL150">
            <v>184.5</v>
          </cell>
          <cell r="EM150">
            <v>84.8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61.8</v>
          </cell>
          <cell r="FB150">
            <v>1</v>
          </cell>
          <cell r="FC150">
            <v>1</v>
          </cell>
          <cell r="FD150">
            <v>0</v>
          </cell>
          <cell r="FE150">
            <v>0</v>
          </cell>
          <cell r="FF150">
            <v>20.64</v>
          </cell>
          <cell r="FG150">
            <v>20.639999389648438</v>
          </cell>
          <cell r="FH150" t="str">
            <v>С УЛК (ЖЭУ)</v>
          </cell>
          <cell r="FI150">
            <v>43647</v>
          </cell>
          <cell r="FJ150">
            <v>15477</v>
          </cell>
          <cell r="FK150">
            <v>15477</v>
          </cell>
          <cell r="FL150">
            <v>523.79999999999995</v>
          </cell>
          <cell r="FM150">
            <v>78.92</v>
          </cell>
          <cell r="FN150">
            <v>847.44</v>
          </cell>
          <cell r="FO150">
            <v>2542.3200000000002</v>
          </cell>
        </row>
        <row r="151">
          <cell r="AI151" t="str">
            <v>Ул. Левитана дом 41/б</v>
          </cell>
          <cell r="AJ151">
            <v>2542.318359375</v>
          </cell>
          <cell r="AK151">
            <v>472.2</v>
          </cell>
          <cell r="AL151">
            <v>306.8</v>
          </cell>
          <cell r="AM151">
            <v>2</v>
          </cell>
          <cell r="AN151">
            <v>2</v>
          </cell>
          <cell r="AO151" t="str">
            <v>АО УЖХ Демского района</v>
          </cell>
          <cell r="AP151">
            <v>440.2</v>
          </cell>
          <cell r="AQ151">
            <v>32</v>
          </cell>
          <cell r="AR151">
            <v>29.3</v>
          </cell>
          <cell r="AS151">
            <v>0</v>
          </cell>
          <cell r="AT151">
            <v>8</v>
          </cell>
          <cell r="AU151">
            <v>2</v>
          </cell>
          <cell r="AV151">
            <v>24</v>
          </cell>
          <cell r="AW151">
            <v>0</v>
          </cell>
          <cell r="AX151">
            <v>0</v>
          </cell>
          <cell r="AY151">
            <v>0</v>
          </cell>
          <cell r="AZ151">
            <v>353.6</v>
          </cell>
          <cell r="BA151">
            <v>1177.8</v>
          </cell>
          <cell r="BB151">
            <v>1177.7998046875</v>
          </cell>
          <cell r="BC151" t="str">
            <v>Непосредственное</v>
          </cell>
          <cell r="BD151" t="str">
            <v>1. Жилой дом</v>
          </cell>
          <cell r="BE151">
            <v>68.599999999999994</v>
          </cell>
          <cell r="BF151" t="str">
            <v>2.Чёрный</v>
          </cell>
          <cell r="BG151">
            <v>68.5999755859375</v>
          </cell>
          <cell r="BH151" t="str">
            <v>3.Водяной</v>
          </cell>
          <cell r="BI151" t="str">
            <v>МУП УИС</v>
          </cell>
          <cell r="BJ151" t="str">
            <v>1. Чугун</v>
          </cell>
          <cell r="BK151">
            <v>68.5999755859375</v>
          </cell>
          <cell r="BL151" t="str">
            <v>2.Кирпич</v>
          </cell>
          <cell r="BM151">
            <v>13881</v>
          </cell>
          <cell r="BN151">
            <v>13881</v>
          </cell>
          <cell r="BO151" t="str">
            <v>Не оборудован</v>
          </cell>
          <cell r="BP151" t="str">
            <v>1.Абсоцемент(шифер)</v>
          </cell>
          <cell r="BQ151" t="str">
            <v>1.Скатная</v>
          </cell>
          <cell r="BR151">
            <v>560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 t="str">
            <v>3.Частный жилищный фонд</v>
          </cell>
          <cell r="BX151">
            <v>8</v>
          </cell>
          <cell r="BY151">
            <v>0</v>
          </cell>
          <cell r="BZ151" t="str">
            <v>2-я</v>
          </cell>
          <cell r="CA151">
            <v>1</v>
          </cell>
          <cell r="CB151">
            <v>27.01</v>
          </cell>
          <cell r="CC151">
            <v>1</v>
          </cell>
          <cell r="CD151">
            <v>1</v>
          </cell>
          <cell r="CE151">
            <v>1</v>
          </cell>
          <cell r="CF151" t="str">
            <v>ООО "Гранд"</v>
          </cell>
          <cell r="CG151">
            <v>7</v>
          </cell>
          <cell r="CH151">
            <v>1</v>
          </cell>
          <cell r="CI151">
            <v>1</v>
          </cell>
          <cell r="CJ151">
            <v>1</v>
          </cell>
          <cell r="CK151">
            <v>0</v>
          </cell>
          <cell r="CL151">
            <v>0</v>
          </cell>
          <cell r="CM151">
            <v>15</v>
          </cell>
          <cell r="CN151">
            <v>29.3</v>
          </cell>
          <cell r="CO151">
            <v>0</v>
          </cell>
          <cell r="CP151">
            <v>29.3</v>
          </cell>
          <cell r="CQ151">
            <v>29.29998779296875</v>
          </cell>
          <cell r="CR151">
            <v>29.29998779296875</v>
          </cell>
          <cell r="CS151">
            <v>0</v>
          </cell>
          <cell r="CT151">
            <v>8</v>
          </cell>
          <cell r="CU151">
            <v>0</v>
          </cell>
          <cell r="CV151">
            <v>0</v>
          </cell>
          <cell r="CW151">
            <v>0</v>
          </cell>
          <cell r="CX151">
            <v>1</v>
          </cell>
          <cell r="CY151">
            <v>1</v>
          </cell>
          <cell r="CZ151">
            <v>2521</v>
          </cell>
          <cell r="DA151" t="str">
            <v>Демский</v>
          </cell>
          <cell r="DB151" t="str">
            <v>2.Деревянные</v>
          </cell>
          <cell r="DC151">
            <v>2521</v>
          </cell>
          <cell r="DD151">
            <v>2521</v>
          </cell>
          <cell r="DE151">
            <v>2521</v>
          </cell>
          <cell r="DF151">
            <v>2521</v>
          </cell>
          <cell r="DG151">
            <v>2521</v>
          </cell>
          <cell r="DH151">
            <v>2521</v>
          </cell>
          <cell r="DI151">
            <v>2521</v>
          </cell>
          <cell r="DJ151">
            <v>2521</v>
          </cell>
          <cell r="DK151">
            <v>0</v>
          </cell>
          <cell r="DL151">
            <v>0</v>
          </cell>
          <cell r="DM151">
            <v>943997</v>
          </cell>
          <cell r="DN151">
            <v>0</v>
          </cell>
          <cell r="DO151">
            <v>0</v>
          </cell>
          <cell r="DP151" t="str">
            <v>УЖХ</v>
          </cell>
          <cell r="DQ151">
            <v>35935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0</v>
          </cell>
          <cell r="EA151">
            <v>0</v>
          </cell>
          <cell r="EB151">
            <v>0</v>
          </cell>
          <cell r="EC151">
            <v>0</v>
          </cell>
          <cell r="ED151" t="str">
            <v>3.Зависимая схема</v>
          </cell>
          <cell r="EE151" t="str">
            <v>Верхний</v>
          </cell>
          <cell r="EF151">
            <v>0</v>
          </cell>
          <cell r="EG151">
            <v>0</v>
          </cell>
          <cell r="EH151">
            <v>0</v>
          </cell>
          <cell r="EI151">
            <v>1177.8</v>
          </cell>
          <cell r="EJ151">
            <v>9.6</v>
          </cell>
          <cell r="EK151">
            <v>212.8</v>
          </cell>
          <cell r="EL151">
            <v>212.7999267578125</v>
          </cell>
          <cell r="EM151">
            <v>83.2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  <cell r="FA151">
            <v>48</v>
          </cell>
          <cell r="FB151">
            <v>1</v>
          </cell>
          <cell r="FC151">
            <v>1</v>
          </cell>
          <cell r="FD151">
            <v>0</v>
          </cell>
          <cell r="FE151">
            <v>0</v>
          </cell>
          <cell r="FF151">
            <v>17</v>
          </cell>
          <cell r="FG151">
            <v>17</v>
          </cell>
          <cell r="FH151" t="str">
            <v>С УЛК (ЖЭУ)</v>
          </cell>
          <cell r="FI151">
            <v>44378</v>
          </cell>
          <cell r="FJ151">
            <v>15477</v>
          </cell>
          <cell r="FK151">
            <v>15477</v>
          </cell>
          <cell r="FL151">
            <v>501.5</v>
          </cell>
          <cell r="FM151">
            <v>78.92</v>
          </cell>
          <cell r="FN151">
            <v>847.44</v>
          </cell>
          <cell r="FO151">
            <v>2542.3200000000002</v>
          </cell>
        </row>
        <row r="152">
          <cell r="AI152" t="str">
            <v>Ул. Левитана дом 43</v>
          </cell>
          <cell r="AJ152">
            <v>2542.318359375</v>
          </cell>
          <cell r="AK152">
            <v>482.5</v>
          </cell>
          <cell r="AL152">
            <v>482.5</v>
          </cell>
          <cell r="AM152">
            <v>1</v>
          </cell>
          <cell r="AN152">
            <v>1</v>
          </cell>
          <cell r="AO152" t="str">
            <v>АО УЖХ Демского района</v>
          </cell>
          <cell r="AP152">
            <v>430.8</v>
          </cell>
          <cell r="AQ152">
            <v>51.7</v>
          </cell>
          <cell r="AR152">
            <v>40.1</v>
          </cell>
          <cell r="AS152">
            <v>128.19999999999999</v>
          </cell>
          <cell r="AT152">
            <v>26</v>
          </cell>
          <cell r="AU152">
            <v>2</v>
          </cell>
          <cell r="AV152">
            <v>38</v>
          </cell>
          <cell r="AW152">
            <v>0</v>
          </cell>
          <cell r="AX152">
            <v>0</v>
          </cell>
          <cell r="AY152">
            <v>0</v>
          </cell>
          <cell r="AZ152">
            <v>410.9</v>
          </cell>
          <cell r="BA152">
            <v>448.1</v>
          </cell>
          <cell r="BB152">
            <v>448.099853515625</v>
          </cell>
          <cell r="BC152" t="str">
            <v>Непосредственное</v>
          </cell>
          <cell r="BD152" t="str">
            <v>3.Общежитие</v>
          </cell>
          <cell r="BE152">
            <v>56.6</v>
          </cell>
          <cell r="BF152" t="str">
            <v>2.Чёрный</v>
          </cell>
          <cell r="BG152">
            <v>56.5999755859375</v>
          </cell>
          <cell r="BH152" t="str">
            <v>3.Водяной</v>
          </cell>
          <cell r="BI152" t="str">
            <v>МУП УИС</v>
          </cell>
          <cell r="BJ152" t="str">
            <v>1. Чугун</v>
          </cell>
          <cell r="BK152">
            <v>56.5999755859375</v>
          </cell>
          <cell r="BL152" t="str">
            <v>2.Кирпич</v>
          </cell>
          <cell r="BM152">
            <v>19360</v>
          </cell>
          <cell r="BN152">
            <v>26</v>
          </cell>
          <cell r="BO152" t="str">
            <v>Оборудован</v>
          </cell>
          <cell r="BP152" t="str">
            <v>2.Лист железный</v>
          </cell>
          <cell r="BQ152" t="str">
            <v>1.Скатная</v>
          </cell>
          <cell r="BR152">
            <v>508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 t="str">
            <v>3.Частный жилищный фонд</v>
          </cell>
          <cell r="BX152">
            <v>0</v>
          </cell>
          <cell r="BY152">
            <v>26</v>
          </cell>
          <cell r="BZ152" t="str">
            <v>2-я</v>
          </cell>
          <cell r="CA152">
            <v>1</v>
          </cell>
          <cell r="CB152">
            <v>27.01</v>
          </cell>
          <cell r="CC152">
            <v>1</v>
          </cell>
          <cell r="CD152">
            <v>1</v>
          </cell>
          <cell r="CE152">
            <v>1</v>
          </cell>
          <cell r="CF152" t="str">
            <v>ООО "Гранд"</v>
          </cell>
          <cell r="CG152">
            <v>23</v>
          </cell>
          <cell r="CH152">
            <v>3</v>
          </cell>
          <cell r="CI152" t="str">
            <v>Общежитие Коридорный тип</v>
          </cell>
          <cell r="CJ152">
            <v>3</v>
          </cell>
          <cell r="CK152">
            <v>0</v>
          </cell>
          <cell r="CL152">
            <v>1</v>
          </cell>
          <cell r="CM152">
            <v>26</v>
          </cell>
          <cell r="CN152">
            <v>168.3</v>
          </cell>
          <cell r="CO152">
            <v>0</v>
          </cell>
          <cell r="CP152">
            <v>168.3</v>
          </cell>
          <cell r="CQ152">
            <v>168.2999267578125</v>
          </cell>
          <cell r="CR152">
            <v>168.2999267578125</v>
          </cell>
          <cell r="CS152">
            <v>1</v>
          </cell>
          <cell r="CT152">
            <v>26</v>
          </cell>
          <cell r="CU152">
            <v>0</v>
          </cell>
          <cell r="CV152">
            <v>0</v>
          </cell>
          <cell r="CW152">
            <v>0</v>
          </cell>
          <cell r="CX152">
            <v>1</v>
          </cell>
          <cell r="CY152">
            <v>1</v>
          </cell>
          <cell r="CZ152">
            <v>3235</v>
          </cell>
          <cell r="DA152" t="str">
            <v>Демский</v>
          </cell>
          <cell r="DB152" t="str">
            <v>3.Сборные ж/б панели</v>
          </cell>
          <cell r="DC152">
            <v>3235</v>
          </cell>
          <cell r="DD152">
            <v>3235</v>
          </cell>
          <cell r="DE152">
            <v>3235</v>
          </cell>
          <cell r="DF152">
            <v>3235</v>
          </cell>
          <cell r="DG152">
            <v>3235</v>
          </cell>
          <cell r="DH152">
            <v>3235</v>
          </cell>
          <cell r="DI152">
            <v>3235</v>
          </cell>
          <cell r="DJ152">
            <v>3235</v>
          </cell>
          <cell r="DK152">
            <v>0</v>
          </cell>
          <cell r="DL152">
            <v>0</v>
          </cell>
          <cell r="DM152">
            <v>789511</v>
          </cell>
          <cell r="DN152">
            <v>0</v>
          </cell>
          <cell r="DO152">
            <v>0</v>
          </cell>
          <cell r="DP152" t="str">
            <v>УЖХ</v>
          </cell>
          <cell r="DQ152">
            <v>38392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30.8</v>
          </cell>
          <cell r="DW152">
            <v>39.9</v>
          </cell>
          <cell r="DX152">
            <v>32.6</v>
          </cell>
          <cell r="DY152">
            <v>14.7</v>
          </cell>
          <cell r="DZ152">
            <v>128.19999999999999</v>
          </cell>
          <cell r="EA152">
            <v>128.199951171875</v>
          </cell>
          <cell r="EB152">
            <v>0</v>
          </cell>
          <cell r="EC152">
            <v>0</v>
          </cell>
          <cell r="ED152" t="str">
            <v>3.Зависимая схема</v>
          </cell>
          <cell r="EE152" t="str">
            <v>Верхний</v>
          </cell>
          <cell r="EF152">
            <v>0</v>
          </cell>
          <cell r="EG152">
            <v>0</v>
          </cell>
          <cell r="EH152">
            <v>0</v>
          </cell>
          <cell r="EI152">
            <v>448.1</v>
          </cell>
          <cell r="EJ152">
            <v>448.099853515625</v>
          </cell>
          <cell r="EK152">
            <v>37.700000000000003</v>
          </cell>
          <cell r="EL152">
            <v>243.7</v>
          </cell>
          <cell r="EM152">
            <v>65.5</v>
          </cell>
          <cell r="EN152">
            <v>0</v>
          </cell>
          <cell r="EO152">
            <v>0</v>
          </cell>
          <cell r="EP152">
            <v>0</v>
          </cell>
          <cell r="EQ152">
            <v>0</v>
          </cell>
          <cell r="ER152">
            <v>0</v>
          </cell>
          <cell r="ES152">
            <v>0</v>
          </cell>
          <cell r="ET152">
            <v>0</v>
          </cell>
          <cell r="EU152">
            <v>0</v>
          </cell>
          <cell r="EV152">
            <v>0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64</v>
          </cell>
          <cell r="FB152">
            <v>1</v>
          </cell>
          <cell r="FC152">
            <v>1</v>
          </cell>
          <cell r="FD152">
            <v>0</v>
          </cell>
          <cell r="FE152">
            <v>0</v>
          </cell>
          <cell r="FF152">
            <v>17.79</v>
          </cell>
          <cell r="FG152">
            <v>17.789993286132813</v>
          </cell>
          <cell r="FH152" t="str">
            <v>С УЛК (ЖЭУ)</v>
          </cell>
          <cell r="FI152">
            <v>43466</v>
          </cell>
          <cell r="FJ152">
            <v>15477</v>
          </cell>
          <cell r="FK152">
            <v>15477</v>
          </cell>
          <cell r="FL152">
            <v>650.79999999999995</v>
          </cell>
          <cell r="FM152">
            <v>78.92</v>
          </cell>
          <cell r="FN152">
            <v>2754.1800000000003</v>
          </cell>
          <cell r="FO152">
            <v>2754.1800000000003</v>
          </cell>
        </row>
        <row r="153">
          <cell r="AI153" t="str">
            <v>Ул. Левитана дом 43/а</v>
          </cell>
          <cell r="AJ153">
            <v>2754.1796875</v>
          </cell>
          <cell r="AK153">
            <v>481.7</v>
          </cell>
          <cell r="AL153">
            <v>312.8</v>
          </cell>
          <cell r="AM153">
            <v>2</v>
          </cell>
          <cell r="AN153">
            <v>2</v>
          </cell>
          <cell r="AO153" t="str">
            <v>АО УЖХ Демского района</v>
          </cell>
          <cell r="AP153">
            <v>481.7</v>
          </cell>
          <cell r="AQ153">
            <v>0</v>
          </cell>
          <cell r="AR153">
            <v>59.8</v>
          </cell>
          <cell r="AS153">
            <v>59.79998779296875</v>
          </cell>
          <cell r="AT153">
            <v>8</v>
          </cell>
          <cell r="AU153">
            <v>2</v>
          </cell>
          <cell r="AV153">
            <v>16</v>
          </cell>
          <cell r="AW153">
            <v>0</v>
          </cell>
          <cell r="AX153">
            <v>0</v>
          </cell>
          <cell r="AY153">
            <v>0</v>
          </cell>
          <cell r="AZ153">
            <v>412.5</v>
          </cell>
          <cell r="BA153">
            <v>914.6</v>
          </cell>
          <cell r="BB153">
            <v>914.599609375</v>
          </cell>
          <cell r="BC153" t="str">
            <v>Непосредственное</v>
          </cell>
          <cell r="BD153" t="str">
            <v>1. Жилой дом</v>
          </cell>
          <cell r="BE153">
            <v>68.599999999999994</v>
          </cell>
          <cell r="BF153" t="str">
            <v>2.Чёрный</v>
          </cell>
          <cell r="BG153">
            <v>68.5999755859375</v>
          </cell>
          <cell r="BH153" t="str">
            <v>3.Водяной</v>
          </cell>
          <cell r="BI153" t="str">
            <v>МУП УИС</v>
          </cell>
          <cell r="BJ153" t="str">
            <v>1. Чугун</v>
          </cell>
          <cell r="BK153">
            <v>68.5999755859375</v>
          </cell>
          <cell r="BL153" t="str">
            <v>2.Кирпич</v>
          </cell>
          <cell r="BM153">
            <v>13881</v>
          </cell>
          <cell r="BN153">
            <v>13881</v>
          </cell>
          <cell r="BO153" t="str">
            <v>Не оборудован</v>
          </cell>
          <cell r="BP153" t="str">
            <v>8.Профнастил</v>
          </cell>
          <cell r="BQ153" t="str">
            <v>1.Скатная</v>
          </cell>
          <cell r="BR153">
            <v>560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 t="str">
            <v>3.Частный жилищный фонд</v>
          </cell>
          <cell r="BX153">
            <v>8</v>
          </cell>
          <cell r="BY153">
            <v>0</v>
          </cell>
          <cell r="BZ153" t="str">
            <v>2-я</v>
          </cell>
          <cell r="CA153">
            <v>1</v>
          </cell>
          <cell r="CB153">
            <v>27.01</v>
          </cell>
          <cell r="CC153">
            <v>1</v>
          </cell>
          <cell r="CD153">
            <v>1</v>
          </cell>
          <cell r="CE153">
            <v>1</v>
          </cell>
          <cell r="CF153" t="str">
            <v>ООО "Гранд"</v>
          </cell>
          <cell r="CG153">
            <v>8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10</v>
          </cell>
          <cell r="CN153">
            <v>59.8</v>
          </cell>
          <cell r="CO153">
            <v>0</v>
          </cell>
          <cell r="CP153">
            <v>59.8</v>
          </cell>
          <cell r="CQ153">
            <v>59.79998779296875</v>
          </cell>
          <cell r="CR153">
            <v>59.79998779296875</v>
          </cell>
          <cell r="CS153">
            <v>0</v>
          </cell>
          <cell r="CT153">
            <v>8</v>
          </cell>
          <cell r="CU153">
            <v>0</v>
          </cell>
          <cell r="CV153">
            <v>0</v>
          </cell>
          <cell r="CW153">
            <v>0</v>
          </cell>
          <cell r="CX153">
            <v>1</v>
          </cell>
          <cell r="CY153">
            <v>1</v>
          </cell>
          <cell r="CZ153">
            <v>2525</v>
          </cell>
          <cell r="DA153" t="str">
            <v>Демский</v>
          </cell>
          <cell r="DB153" t="str">
            <v>2.Деревянные</v>
          </cell>
          <cell r="DC153">
            <v>2525</v>
          </cell>
          <cell r="DD153">
            <v>2525</v>
          </cell>
          <cell r="DE153">
            <v>2525</v>
          </cell>
          <cell r="DF153">
            <v>2525</v>
          </cell>
          <cell r="DG153">
            <v>2525</v>
          </cell>
          <cell r="DH153">
            <v>2525</v>
          </cell>
          <cell r="DI153">
            <v>2525</v>
          </cell>
          <cell r="DJ153">
            <v>2525</v>
          </cell>
          <cell r="DK153">
            <v>0</v>
          </cell>
          <cell r="DL153">
            <v>0</v>
          </cell>
          <cell r="DM153">
            <v>931454</v>
          </cell>
          <cell r="DN153">
            <v>0</v>
          </cell>
          <cell r="DO153">
            <v>0</v>
          </cell>
          <cell r="DP153" t="str">
            <v>УЖХ</v>
          </cell>
          <cell r="DQ153">
            <v>35735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 t="str">
            <v>3.Зависимая схема</v>
          </cell>
          <cell r="EE153" t="str">
            <v>Верхний</v>
          </cell>
          <cell r="EF153">
            <v>0</v>
          </cell>
          <cell r="EG153">
            <v>0</v>
          </cell>
          <cell r="EH153">
            <v>0</v>
          </cell>
          <cell r="EI153">
            <v>914.6</v>
          </cell>
          <cell r="EJ153">
            <v>46.2</v>
          </cell>
          <cell r="EK153">
            <v>186.7</v>
          </cell>
          <cell r="EL153">
            <v>50</v>
          </cell>
          <cell r="EM153">
            <v>81.3</v>
          </cell>
          <cell r="EN153">
            <v>2</v>
          </cell>
          <cell r="EO153">
            <v>2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8</v>
          </cell>
          <cell r="EX153">
            <v>1</v>
          </cell>
          <cell r="EY153">
            <v>1</v>
          </cell>
          <cell r="EZ153">
            <v>0</v>
          </cell>
          <cell r="FA153">
            <v>40.299999999999997</v>
          </cell>
          <cell r="FB153">
            <v>1</v>
          </cell>
          <cell r="FC153">
            <v>1</v>
          </cell>
          <cell r="FD153">
            <v>0</v>
          </cell>
          <cell r="FE153">
            <v>0</v>
          </cell>
          <cell r="FF153">
            <v>18.2</v>
          </cell>
          <cell r="FG153">
            <v>18.199996948242188</v>
          </cell>
          <cell r="FH153" t="str">
            <v>С УЛК (ЖЭУ)</v>
          </cell>
          <cell r="FI153">
            <v>43647</v>
          </cell>
          <cell r="FJ153">
            <v>15477</v>
          </cell>
          <cell r="FK153">
            <v>15477</v>
          </cell>
          <cell r="FL153">
            <v>541.5</v>
          </cell>
          <cell r="FM153">
            <v>78.92</v>
          </cell>
          <cell r="FN153">
            <v>847.44</v>
          </cell>
          <cell r="FO153">
            <v>2542.3200000000002</v>
          </cell>
        </row>
        <row r="154">
          <cell r="AI154" t="str">
            <v>Ул. Левитана дом 71</v>
          </cell>
          <cell r="AJ154">
            <v>2542.318359375</v>
          </cell>
          <cell r="AK154">
            <v>4747.6000000000004</v>
          </cell>
          <cell r="AL154">
            <v>2521.4</v>
          </cell>
          <cell r="AM154">
            <v>1</v>
          </cell>
          <cell r="AN154">
            <v>1</v>
          </cell>
          <cell r="AO154" t="str">
            <v>АО УЖХ Демского района</v>
          </cell>
          <cell r="AP154">
            <v>4721.1000000000004</v>
          </cell>
          <cell r="AQ154">
            <v>27.3</v>
          </cell>
          <cell r="AR154">
            <v>228.6</v>
          </cell>
          <cell r="AS154">
            <v>894</v>
          </cell>
          <cell r="AT154">
            <v>144</v>
          </cell>
          <cell r="AU154">
            <v>9</v>
          </cell>
          <cell r="AV154">
            <v>279</v>
          </cell>
          <cell r="AW154">
            <v>279</v>
          </cell>
          <cell r="AX154" t="str">
            <v>отказ от услуги</v>
          </cell>
          <cell r="AY154">
            <v>136.6</v>
          </cell>
          <cell r="AZ154">
            <v>1553.3</v>
          </cell>
          <cell r="BA154">
            <v>3536.2</v>
          </cell>
          <cell r="BB154">
            <v>3536.19921875</v>
          </cell>
          <cell r="BC154" t="str">
            <v>Управляющая компания</v>
          </cell>
          <cell r="BD154" t="str">
            <v>1. Жилой дом</v>
          </cell>
          <cell r="BE154">
            <v>27.8</v>
          </cell>
          <cell r="BF154" t="str">
            <v>2.Чёрный</v>
          </cell>
          <cell r="BG154" t="str">
            <v>1.Оцинкованный</v>
          </cell>
          <cell r="BH154" t="str">
            <v>3.Водяной</v>
          </cell>
          <cell r="BI154" t="str">
            <v>МУП УИС</v>
          </cell>
          <cell r="BJ154" t="str">
            <v>1. Чугун</v>
          </cell>
          <cell r="BK154">
            <v>1</v>
          </cell>
          <cell r="BL154" t="str">
            <v>2.Кирпич</v>
          </cell>
          <cell r="BM154">
            <v>32509</v>
          </cell>
          <cell r="BN154">
            <v>32509</v>
          </cell>
          <cell r="BO154" t="str">
            <v>Оборудован</v>
          </cell>
          <cell r="BP154" t="str">
            <v>4.Мягк/рулонная</v>
          </cell>
          <cell r="BQ154" t="str">
            <v>2.Плоская</v>
          </cell>
          <cell r="BR154">
            <v>943</v>
          </cell>
          <cell r="BS154">
            <v>857.3</v>
          </cell>
          <cell r="BT154">
            <v>857.2998046875</v>
          </cell>
          <cell r="BU154">
            <v>787</v>
          </cell>
          <cell r="BV154">
            <v>787</v>
          </cell>
          <cell r="BW154" t="str">
            <v>3.Частный жилищный фонд</v>
          </cell>
          <cell r="BX154">
            <v>144</v>
          </cell>
          <cell r="BY154">
            <v>0</v>
          </cell>
          <cell r="BZ154" t="str">
            <v>2-я</v>
          </cell>
          <cell r="CA154">
            <v>1</v>
          </cell>
          <cell r="CB154">
            <v>27.01</v>
          </cell>
          <cell r="CC154">
            <v>27.009994506835938</v>
          </cell>
          <cell r="CD154">
            <v>4748.3999999999996</v>
          </cell>
          <cell r="CE154">
            <v>4748.3984375</v>
          </cell>
          <cell r="CF154" t="str">
            <v>ООО "Гранд"</v>
          </cell>
          <cell r="CG154">
            <v>143</v>
          </cell>
          <cell r="CH154">
            <v>1</v>
          </cell>
          <cell r="CI154">
            <v>1</v>
          </cell>
          <cell r="CJ154">
            <v>1</v>
          </cell>
          <cell r="CK154">
            <v>0</v>
          </cell>
          <cell r="CL154">
            <v>1</v>
          </cell>
          <cell r="CM154">
            <v>144</v>
          </cell>
          <cell r="CN154">
            <v>1122.5999999999999</v>
          </cell>
          <cell r="CO154">
            <v>1122.5999999999999</v>
          </cell>
          <cell r="CP154">
            <v>2766.9</v>
          </cell>
          <cell r="CQ154">
            <v>2766.8984375</v>
          </cell>
          <cell r="CR154">
            <v>2766.8984375</v>
          </cell>
          <cell r="CS154">
            <v>1</v>
          </cell>
          <cell r="CT154">
            <v>144</v>
          </cell>
          <cell r="CU154">
            <v>0</v>
          </cell>
          <cell r="CV154">
            <v>119</v>
          </cell>
          <cell r="CW154">
            <v>119</v>
          </cell>
          <cell r="CX154">
            <v>1</v>
          </cell>
          <cell r="CY154">
            <v>1</v>
          </cell>
          <cell r="CZ154">
            <v>23232</v>
          </cell>
          <cell r="DA154" t="str">
            <v>Демский</v>
          </cell>
          <cell r="DB154" t="str">
            <v>3.Сборные ж/б панели</v>
          </cell>
          <cell r="DC154">
            <v>23232</v>
          </cell>
          <cell r="DD154">
            <v>23232</v>
          </cell>
          <cell r="DE154">
            <v>23232</v>
          </cell>
          <cell r="DF154">
            <v>23232</v>
          </cell>
          <cell r="DG154">
            <v>23232</v>
          </cell>
          <cell r="DH154">
            <v>23232</v>
          </cell>
          <cell r="DI154">
            <v>23232</v>
          </cell>
          <cell r="DJ154" t="str">
            <v>АО УЖХ Демского района</v>
          </cell>
          <cell r="DK154">
            <v>23232</v>
          </cell>
          <cell r="DL154">
            <v>23232</v>
          </cell>
          <cell r="DM154">
            <v>12115270</v>
          </cell>
          <cell r="DN154">
            <v>1</v>
          </cell>
          <cell r="DO154" t="str">
            <v>ГВС</v>
          </cell>
          <cell r="DP154" t="str">
            <v>УЖХ</v>
          </cell>
          <cell r="DQ154">
            <v>40214</v>
          </cell>
          <cell r="DR154">
            <v>0</v>
          </cell>
          <cell r="DS154">
            <v>144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 t="str">
            <v>4. Независимая схема</v>
          </cell>
          <cell r="EE154" t="str">
            <v>Верхний</v>
          </cell>
          <cell r="EF154">
            <v>0</v>
          </cell>
          <cell r="EG154">
            <v>0</v>
          </cell>
          <cell r="EH154">
            <v>96</v>
          </cell>
          <cell r="EI154">
            <v>2938.2</v>
          </cell>
          <cell r="EJ154">
            <v>296.3</v>
          </cell>
          <cell r="EK154">
            <v>1048.5999999999999</v>
          </cell>
          <cell r="EL154">
            <v>0</v>
          </cell>
          <cell r="EM154">
            <v>164.9</v>
          </cell>
          <cell r="EN154">
            <v>2</v>
          </cell>
          <cell r="EO154">
            <v>2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502</v>
          </cell>
          <cell r="EV154">
            <v>1</v>
          </cell>
          <cell r="EW154">
            <v>3.6</v>
          </cell>
          <cell r="EX154">
            <v>1</v>
          </cell>
          <cell r="EY154">
            <v>1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0</v>
          </cell>
          <cell r="FE154">
            <v>0</v>
          </cell>
          <cell r="FF154">
            <v>18.47</v>
          </cell>
          <cell r="FG154">
            <v>18.469985961914063</v>
          </cell>
          <cell r="FH154">
            <v>18.469985961914063</v>
          </cell>
          <cell r="FI154">
            <v>43678</v>
          </cell>
          <cell r="FJ154">
            <v>15477</v>
          </cell>
          <cell r="FK154">
            <v>15477</v>
          </cell>
          <cell r="FL154">
            <v>7354.1</v>
          </cell>
          <cell r="FM154">
            <v>78.92</v>
          </cell>
          <cell r="FN154">
            <v>3889.44</v>
          </cell>
          <cell r="FO154">
            <v>11668.32</v>
          </cell>
        </row>
        <row r="155">
          <cell r="AI155" t="str">
            <v>Ул. Левитана дом 8</v>
          </cell>
          <cell r="AJ155">
            <v>11668.3125</v>
          </cell>
          <cell r="AK155">
            <v>1213.9000000000001</v>
          </cell>
          <cell r="AL155">
            <v>749.1</v>
          </cell>
          <cell r="AM155">
            <v>4</v>
          </cell>
          <cell r="AN155">
            <v>4</v>
          </cell>
          <cell r="AO155" t="str">
            <v>АО УЖХ Демского района</v>
          </cell>
          <cell r="AP155">
            <v>1212.9000000000001</v>
          </cell>
          <cell r="AQ155">
            <v>0</v>
          </cell>
          <cell r="AR155">
            <v>183.6</v>
          </cell>
          <cell r="AS155">
            <v>13.9</v>
          </cell>
          <cell r="AT155">
            <v>21</v>
          </cell>
          <cell r="AU155">
            <v>3</v>
          </cell>
          <cell r="AV155">
            <v>46</v>
          </cell>
          <cell r="AW155">
            <v>0</v>
          </cell>
          <cell r="AX155">
            <v>0</v>
          </cell>
          <cell r="AY155">
            <v>512.9</v>
          </cell>
          <cell r="AZ155">
            <v>946.9</v>
          </cell>
          <cell r="BA155">
            <v>476.1</v>
          </cell>
          <cell r="BB155">
            <v>476.099853515625</v>
          </cell>
          <cell r="BC155" t="str">
            <v>Непосредственное</v>
          </cell>
          <cell r="BD155" t="str">
            <v>1. Жилой дом</v>
          </cell>
          <cell r="BE155">
            <v>53.4</v>
          </cell>
          <cell r="BF155" t="str">
            <v>1.Оцинкованный</v>
          </cell>
          <cell r="BG155">
            <v>53.399993896484375</v>
          </cell>
          <cell r="BH155" t="str">
            <v>3.Водяной</v>
          </cell>
          <cell r="BI155" t="str">
            <v>МУП УИС</v>
          </cell>
          <cell r="BJ155" t="str">
            <v>1. Чугун</v>
          </cell>
          <cell r="BK155">
            <v>53.399993896484375</v>
          </cell>
          <cell r="BL155" t="str">
            <v>2.Кирпич</v>
          </cell>
          <cell r="BM155">
            <v>20821</v>
          </cell>
          <cell r="BN155">
            <v>21</v>
          </cell>
          <cell r="BO155" t="str">
            <v>Оборудован</v>
          </cell>
          <cell r="BP155" t="str">
            <v>1.Абсоцемент(шифер)</v>
          </cell>
          <cell r="BQ155" t="str">
            <v>1.Скатная</v>
          </cell>
          <cell r="BR155">
            <v>1100.2</v>
          </cell>
          <cell r="BS155">
            <v>846.3</v>
          </cell>
          <cell r="BT155">
            <v>846.2998046875</v>
          </cell>
          <cell r="BU155">
            <v>846.2998046875</v>
          </cell>
          <cell r="BV155">
            <v>0</v>
          </cell>
          <cell r="BW155" t="str">
            <v>3.Частный жилищный фонд</v>
          </cell>
          <cell r="BX155">
            <v>21</v>
          </cell>
          <cell r="BY155">
            <v>0</v>
          </cell>
          <cell r="BZ155" t="str">
            <v>2-я</v>
          </cell>
          <cell r="CA155">
            <v>1</v>
          </cell>
          <cell r="CB155">
            <v>27.01</v>
          </cell>
          <cell r="CC155">
            <v>1</v>
          </cell>
          <cell r="CD155">
            <v>1</v>
          </cell>
          <cell r="CE155">
            <v>174</v>
          </cell>
          <cell r="CF155" t="str">
            <v>ООО "Дёма Комфорт"</v>
          </cell>
          <cell r="CG155">
            <v>21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29</v>
          </cell>
          <cell r="CN155">
            <v>197.5</v>
          </cell>
          <cell r="CO155">
            <v>0</v>
          </cell>
          <cell r="CP155">
            <v>1043.8</v>
          </cell>
          <cell r="CQ155">
            <v>1043.7998046875</v>
          </cell>
          <cell r="CR155">
            <v>1043.7998046875</v>
          </cell>
          <cell r="CS155">
            <v>1</v>
          </cell>
          <cell r="CT155">
            <v>21</v>
          </cell>
          <cell r="CU155">
            <v>0</v>
          </cell>
          <cell r="CV155">
            <v>3</v>
          </cell>
          <cell r="CW155">
            <v>0</v>
          </cell>
          <cell r="CX155">
            <v>1</v>
          </cell>
          <cell r="CY155">
            <v>1</v>
          </cell>
          <cell r="CZ155">
            <v>10666</v>
          </cell>
          <cell r="DA155" t="str">
            <v>Демский</v>
          </cell>
          <cell r="DB155" t="str">
            <v>3.Сборные ж/б панели</v>
          </cell>
          <cell r="DC155">
            <v>10666</v>
          </cell>
          <cell r="DD155">
            <v>10666</v>
          </cell>
          <cell r="DE155">
            <v>10666</v>
          </cell>
          <cell r="DF155">
            <v>10666</v>
          </cell>
          <cell r="DG155">
            <v>10666</v>
          </cell>
          <cell r="DH155">
            <v>10666</v>
          </cell>
          <cell r="DI155">
            <v>10666</v>
          </cell>
          <cell r="DJ155">
            <v>10666</v>
          </cell>
          <cell r="DK155">
            <v>0</v>
          </cell>
          <cell r="DL155">
            <v>0</v>
          </cell>
          <cell r="DM155">
            <v>4391665</v>
          </cell>
          <cell r="DN155">
            <v>0</v>
          </cell>
          <cell r="DO155">
            <v>0</v>
          </cell>
          <cell r="DP155" t="str">
            <v>УЖХ</v>
          </cell>
          <cell r="DQ155">
            <v>40198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 t="str">
            <v>3.Зависимая схема</v>
          </cell>
          <cell r="EE155" t="str">
            <v>Верхний</v>
          </cell>
          <cell r="EF155">
            <v>0</v>
          </cell>
          <cell r="EG155">
            <v>0</v>
          </cell>
          <cell r="EH155">
            <v>50</v>
          </cell>
          <cell r="EI155">
            <v>426.1</v>
          </cell>
          <cell r="EJ155">
            <v>482.2</v>
          </cell>
          <cell r="EK155">
            <v>384.9</v>
          </cell>
          <cell r="EL155">
            <v>384.89990234375</v>
          </cell>
          <cell r="EM155">
            <v>79.8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  <cell r="FA155">
            <v>0</v>
          </cell>
          <cell r="FB155">
            <v>0</v>
          </cell>
          <cell r="FC155">
            <v>0</v>
          </cell>
          <cell r="FD155">
            <v>0</v>
          </cell>
          <cell r="FE155">
            <v>0</v>
          </cell>
          <cell r="FF155">
            <v>15.5</v>
          </cell>
          <cell r="FG155">
            <v>2</v>
          </cell>
          <cell r="FH155">
            <v>2</v>
          </cell>
          <cell r="FI155">
            <v>43647</v>
          </cell>
          <cell r="FJ155">
            <v>15477</v>
          </cell>
          <cell r="FK155">
            <v>15477</v>
          </cell>
          <cell r="FL155">
            <v>2770.6</v>
          </cell>
          <cell r="FM155">
            <v>78.92</v>
          </cell>
          <cell r="FN155">
            <v>2224.5299999999997</v>
          </cell>
          <cell r="FO155">
            <v>6673.5899999999992</v>
          </cell>
        </row>
        <row r="156">
          <cell r="AI156" t="str">
            <v>Ул. Левитана дом 9</v>
          </cell>
          <cell r="AJ156">
            <v>6673.58984375</v>
          </cell>
          <cell r="AK156">
            <v>903.8</v>
          </cell>
          <cell r="AL156">
            <v>595.1</v>
          </cell>
          <cell r="AM156">
            <v>2</v>
          </cell>
          <cell r="AN156">
            <v>2</v>
          </cell>
          <cell r="AO156" t="str">
            <v>АО УЖХ Демского района</v>
          </cell>
          <cell r="AP156">
            <v>823.8</v>
          </cell>
          <cell r="AQ156">
            <v>80</v>
          </cell>
          <cell r="AR156">
            <v>39.1</v>
          </cell>
          <cell r="AS156">
            <v>5.4</v>
          </cell>
          <cell r="AT156">
            <v>12</v>
          </cell>
          <cell r="AU156">
            <v>2</v>
          </cell>
          <cell r="AV156">
            <v>46</v>
          </cell>
          <cell r="AW156">
            <v>0</v>
          </cell>
          <cell r="AX156">
            <v>0</v>
          </cell>
          <cell r="AY156">
            <v>0</v>
          </cell>
          <cell r="AZ156">
            <v>552.29999999999995</v>
          </cell>
          <cell r="BA156">
            <v>1975.8</v>
          </cell>
          <cell r="BB156">
            <v>1975.7998046875</v>
          </cell>
          <cell r="BC156" t="str">
            <v>Непосредственное</v>
          </cell>
          <cell r="BD156" t="str">
            <v>1. Жилой дом</v>
          </cell>
          <cell r="BE156">
            <v>52.6</v>
          </cell>
          <cell r="BF156" t="str">
            <v>1.Оцинкованный</v>
          </cell>
          <cell r="BG156">
            <v>52.5999755859375</v>
          </cell>
          <cell r="BH156" t="str">
            <v>3.Водяной</v>
          </cell>
          <cell r="BI156" t="str">
            <v>МУП УИС</v>
          </cell>
          <cell r="BJ156" t="str">
            <v>1. Чугун</v>
          </cell>
          <cell r="BK156">
            <v>52.5999755859375</v>
          </cell>
          <cell r="BL156" t="str">
            <v>2.Кирпич</v>
          </cell>
          <cell r="BM156">
            <v>21186</v>
          </cell>
          <cell r="BN156">
            <v>12</v>
          </cell>
          <cell r="BO156" t="str">
            <v>Не оборудован</v>
          </cell>
          <cell r="BP156" t="str">
            <v>8.Профнастил</v>
          </cell>
          <cell r="BQ156" t="str">
            <v>1.Скатная</v>
          </cell>
          <cell r="BR156">
            <v>640.70000000000005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 t="str">
            <v>3.Частный жилищный фонд</v>
          </cell>
          <cell r="BX156">
            <v>12</v>
          </cell>
          <cell r="BY156">
            <v>0</v>
          </cell>
          <cell r="BZ156" t="str">
            <v>2-я</v>
          </cell>
          <cell r="CA156">
            <v>1</v>
          </cell>
          <cell r="CB156">
            <v>27.01</v>
          </cell>
          <cell r="CC156">
            <v>1</v>
          </cell>
          <cell r="CD156">
            <v>1</v>
          </cell>
          <cell r="CE156">
            <v>1</v>
          </cell>
          <cell r="CF156" t="str">
            <v>ООО "Гранд"</v>
          </cell>
          <cell r="CG156">
            <v>11</v>
          </cell>
          <cell r="CH156">
            <v>1</v>
          </cell>
          <cell r="CI156">
            <v>1</v>
          </cell>
          <cell r="CJ156">
            <v>1</v>
          </cell>
          <cell r="CK156">
            <v>0</v>
          </cell>
          <cell r="CL156">
            <v>0</v>
          </cell>
          <cell r="CM156">
            <v>25</v>
          </cell>
          <cell r="CN156">
            <v>44.5</v>
          </cell>
          <cell r="CO156">
            <v>0</v>
          </cell>
          <cell r="CP156">
            <v>44.5</v>
          </cell>
          <cell r="CQ156">
            <v>44.5</v>
          </cell>
          <cell r="CR156">
            <v>44.5</v>
          </cell>
          <cell r="CS156">
            <v>0</v>
          </cell>
          <cell r="CT156">
            <v>12</v>
          </cell>
          <cell r="CU156">
            <v>0</v>
          </cell>
          <cell r="CV156">
            <v>0</v>
          </cell>
          <cell r="CW156">
            <v>0</v>
          </cell>
          <cell r="CX156">
            <v>1</v>
          </cell>
          <cell r="CY156">
            <v>1</v>
          </cell>
          <cell r="CZ156">
            <v>4805</v>
          </cell>
          <cell r="DA156" t="str">
            <v>Демский</v>
          </cell>
          <cell r="DB156" t="str">
            <v>2.Деревянные</v>
          </cell>
          <cell r="DC156">
            <v>4805</v>
          </cell>
          <cell r="DD156">
            <v>4805</v>
          </cell>
          <cell r="DE156">
            <v>4805</v>
          </cell>
          <cell r="DF156">
            <v>4805</v>
          </cell>
          <cell r="DG156">
            <v>4805</v>
          </cell>
          <cell r="DH156">
            <v>4805</v>
          </cell>
          <cell r="DI156">
            <v>4805</v>
          </cell>
          <cell r="DJ156">
            <v>4805</v>
          </cell>
          <cell r="DK156">
            <v>0</v>
          </cell>
          <cell r="DL156">
            <v>0</v>
          </cell>
          <cell r="DM156">
            <v>1772530</v>
          </cell>
          <cell r="DN156">
            <v>0</v>
          </cell>
          <cell r="DO156">
            <v>0</v>
          </cell>
          <cell r="DP156" t="str">
            <v>УЖХ</v>
          </cell>
          <cell r="DQ156">
            <v>35522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 t="str">
            <v>3.Зависимая схема</v>
          </cell>
          <cell r="EE156" t="str">
            <v>Верхний</v>
          </cell>
          <cell r="EF156">
            <v>0</v>
          </cell>
          <cell r="EG156">
            <v>0</v>
          </cell>
          <cell r="EH156">
            <v>0</v>
          </cell>
          <cell r="EI156">
            <v>1975.8</v>
          </cell>
          <cell r="EJ156">
            <v>342.3</v>
          </cell>
          <cell r="EK156">
            <v>210</v>
          </cell>
          <cell r="EL156">
            <v>210</v>
          </cell>
          <cell r="EM156">
            <v>210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16.93</v>
          </cell>
          <cell r="FG156">
            <v>16.92999267578125</v>
          </cell>
          <cell r="FH156" t="str">
            <v>С УЛК (ЖЭУ)</v>
          </cell>
          <cell r="FI156">
            <v>43647</v>
          </cell>
          <cell r="FJ156">
            <v>15477</v>
          </cell>
          <cell r="FK156">
            <v>15477</v>
          </cell>
          <cell r="FL156">
            <v>948.3</v>
          </cell>
          <cell r="FM156">
            <v>78.92</v>
          </cell>
          <cell r="FN156">
            <v>1271.1599999999999</v>
          </cell>
          <cell r="FO156">
            <v>3813.4799999999996</v>
          </cell>
        </row>
        <row r="157">
          <cell r="AI157" t="str">
            <v>Ул. Левитана дом 9/а</v>
          </cell>
          <cell r="AJ157">
            <v>3813.478515625</v>
          </cell>
          <cell r="AK157">
            <v>398.9</v>
          </cell>
          <cell r="AL157">
            <v>245</v>
          </cell>
          <cell r="AM157">
            <v>1</v>
          </cell>
          <cell r="AN157">
            <v>1</v>
          </cell>
          <cell r="AO157" t="str">
            <v>АО УЖХ Демского района</v>
          </cell>
          <cell r="AP157">
            <v>350.5</v>
          </cell>
          <cell r="AQ157">
            <v>48.4</v>
          </cell>
          <cell r="AR157">
            <v>38.299999999999997</v>
          </cell>
          <cell r="AS157">
            <v>4.5999999999999996</v>
          </cell>
          <cell r="AT157">
            <v>8</v>
          </cell>
          <cell r="AU157">
            <v>2</v>
          </cell>
          <cell r="AV157">
            <v>22</v>
          </cell>
          <cell r="AW157">
            <v>0</v>
          </cell>
          <cell r="AX157">
            <v>0</v>
          </cell>
          <cell r="AY157">
            <v>0</v>
          </cell>
          <cell r="AZ157">
            <v>293.45</v>
          </cell>
          <cell r="BA157">
            <v>1759.2</v>
          </cell>
          <cell r="BB157">
            <v>1759.19921875</v>
          </cell>
          <cell r="BC157" t="str">
            <v>Непосредственное</v>
          </cell>
          <cell r="BD157" t="str">
            <v>1. Жилой дом</v>
          </cell>
          <cell r="BE157">
            <v>67.75</v>
          </cell>
          <cell r="BF157" t="str">
            <v>2.Чёрный</v>
          </cell>
          <cell r="BG157">
            <v>67.75</v>
          </cell>
          <cell r="BH157" t="str">
            <v>3.Водяной</v>
          </cell>
          <cell r="BI157" t="str">
            <v>МУП УИС</v>
          </cell>
          <cell r="BJ157" t="str">
            <v>1. Чугун</v>
          </cell>
          <cell r="BK157">
            <v>67.75</v>
          </cell>
          <cell r="BL157" t="str">
            <v>4.Шлакоблок</v>
          </cell>
          <cell r="BM157">
            <v>20455</v>
          </cell>
          <cell r="BN157">
            <v>8</v>
          </cell>
          <cell r="BO157" t="str">
            <v>Оборудован</v>
          </cell>
          <cell r="BP157" t="str">
            <v>1.Абсоцемент(шифер)</v>
          </cell>
          <cell r="BQ157" t="str">
            <v>1.Скатная</v>
          </cell>
          <cell r="BR157">
            <v>369</v>
          </cell>
          <cell r="BS157">
            <v>285.39999999999998</v>
          </cell>
          <cell r="BT157">
            <v>285.39990234375</v>
          </cell>
          <cell r="BU157">
            <v>285.39990234375</v>
          </cell>
          <cell r="BV157">
            <v>0</v>
          </cell>
          <cell r="BW157" t="str">
            <v>3.Частный жилищный фонд</v>
          </cell>
          <cell r="BX157">
            <v>8</v>
          </cell>
          <cell r="BY157">
            <v>0</v>
          </cell>
          <cell r="BZ157" t="str">
            <v>3-я</v>
          </cell>
          <cell r="CA157">
            <v>1</v>
          </cell>
          <cell r="CB157">
            <v>27.01</v>
          </cell>
          <cell r="CC157">
            <v>1</v>
          </cell>
          <cell r="CD157">
            <v>1</v>
          </cell>
          <cell r="CE157">
            <v>1</v>
          </cell>
          <cell r="CF157" t="str">
            <v>ООО "Гранд"</v>
          </cell>
          <cell r="CG157">
            <v>7</v>
          </cell>
          <cell r="CH157">
            <v>1</v>
          </cell>
          <cell r="CI157">
            <v>1</v>
          </cell>
          <cell r="CJ157">
            <v>1</v>
          </cell>
          <cell r="CK157">
            <v>0</v>
          </cell>
          <cell r="CL157">
            <v>0</v>
          </cell>
          <cell r="CM157">
            <v>8</v>
          </cell>
          <cell r="CN157">
            <v>42.9</v>
          </cell>
          <cell r="CO157">
            <v>0</v>
          </cell>
          <cell r="CP157">
            <v>328.3</v>
          </cell>
          <cell r="CQ157">
            <v>328.2998046875</v>
          </cell>
          <cell r="CR157">
            <v>328.2998046875</v>
          </cell>
          <cell r="CS157">
            <v>0</v>
          </cell>
          <cell r="CT157">
            <v>8</v>
          </cell>
          <cell r="CU157">
            <v>0</v>
          </cell>
          <cell r="CV157">
            <v>0</v>
          </cell>
          <cell r="CW157">
            <v>0</v>
          </cell>
          <cell r="CX157">
            <v>1</v>
          </cell>
          <cell r="CY157">
            <v>1</v>
          </cell>
          <cell r="CZ157">
            <v>1855</v>
          </cell>
          <cell r="DA157" t="str">
            <v>Демский</v>
          </cell>
          <cell r="DB157" t="str">
            <v>2.Деревянные</v>
          </cell>
          <cell r="DC157">
            <v>1855</v>
          </cell>
          <cell r="DD157">
            <v>1855</v>
          </cell>
          <cell r="DE157">
            <v>1855</v>
          </cell>
          <cell r="DF157">
            <v>1855</v>
          </cell>
          <cell r="DG157">
            <v>1855</v>
          </cell>
          <cell r="DH157">
            <v>1855</v>
          </cell>
          <cell r="DI157">
            <v>1855</v>
          </cell>
          <cell r="DJ157">
            <v>1855</v>
          </cell>
          <cell r="DK157">
            <v>0</v>
          </cell>
          <cell r="DL157">
            <v>0</v>
          </cell>
          <cell r="DM157">
            <v>684296</v>
          </cell>
          <cell r="DN157">
            <v>0</v>
          </cell>
          <cell r="DO157">
            <v>0</v>
          </cell>
          <cell r="DP157" t="str">
            <v>УЖХ</v>
          </cell>
          <cell r="DQ157">
            <v>35676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0</v>
          </cell>
          <cell r="EC157">
            <v>0</v>
          </cell>
          <cell r="ED157" t="str">
            <v>3.Зависимая схема</v>
          </cell>
          <cell r="EE157" t="str">
            <v>Верхний</v>
          </cell>
          <cell r="EF157">
            <v>0</v>
          </cell>
          <cell r="EG157">
            <v>0</v>
          </cell>
          <cell r="EH157">
            <v>0</v>
          </cell>
          <cell r="EI157">
            <v>1759.2</v>
          </cell>
          <cell r="EJ157">
            <v>23.25</v>
          </cell>
          <cell r="EK157">
            <v>203</v>
          </cell>
          <cell r="EL157">
            <v>203</v>
          </cell>
          <cell r="EM157">
            <v>53.2</v>
          </cell>
          <cell r="EN157">
            <v>3</v>
          </cell>
          <cell r="EO157">
            <v>3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14</v>
          </cell>
          <cell r="EX157">
            <v>1</v>
          </cell>
          <cell r="EY157">
            <v>1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22.14</v>
          </cell>
          <cell r="FG157">
            <v>2</v>
          </cell>
          <cell r="FH157">
            <v>2</v>
          </cell>
          <cell r="FI157">
            <v>43647</v>
          </cell>
          <cell r="FJ157">
            <v>15477</v>
          </cell>
          <cell r="FK157">
            <v>15477</v>
          </cell>
          <cell r="FL157">
            <v>727.2</v>
          </cell>
          <cell r="FM157">
            <v>78.92</v>
          </cell>
          <cell r="FN157">
            <v>847.44</v>
          </cell>
          <cell r="FO157">
            <v>2542.3200000000002</v>
          </cell>
        </row>
        <row r="158">
          <cell r="AI158" t="str">
            <v>Ул. Правды дом 1</v>
          </cell>
          <cell r="AJ158">
            <v>2542.318359375</v>
          </cell>
          <cell r="AK158">
            <v>3299.9</v>
          </cell>
          <cell r="AL158">
            <v>1866.8</v>
          </cell>
          <cell r="AM158">
            <v>1</v>
          </cell>
          <cell r="AN158">
            <v>1</v>
          </cell>
          <cell r="AO158" t="str">
            <v>АО УЖХ Демского района</v>
          </cell>
          <cell r="AP158">
            <v>3219.3</v>
          </cell>
          <cell r="AQ158">
            <v>83.5</v>
          </cell>
          <cell r="AR158">
            <v>163.5</v>
          </cell>
          <cell r="AS158">
            <v>590.1</v>
          </cell>
          <cell r="AT158">
            <v>71</v>
          </cell>
          <cell r="AU158">
            <v>12</v>
          </cell>
          <cell r="AV158">
            <v>139</v>
          </cell>
          <cell r="AW158">
            <v>0</v>
          </cell>
          <cell r="AX158" t="str">
            <v>отказ от услуги</v>
          </cell>
          <cell r="AY158">
            <v>580</v>
          </cell>
          <cell r="AZ158">
            <v>1263</v>
          </cell>
          <cell r="BA158">
            <v>1602.9</v>
          </cell>
          <cell r="BB158">
            <v>1602.8994140625</v>
          </cell>
          <cell r="BC158" t="str">
            <v>Управляющая компания</v>
          </cell>
          <cell r="BD158" t="str">
            <v>1. Жилой дом</v>
          </cell>
          <cell r="BE158">
            <v>24.32</v>
          </cell>
          <cell r="BF158" t="str">
            <v>1.Оцинкованный</v>
          </cell>
          <cell r="BG158" t="str">
            <v>1.Оцинкованный</v>
          </cell>
          <cell r="BH158" t="str">
            <v>3.Водяной</v>
          </cell>
          <cell r="BI158" t="str">
            <v>МУП УИС</v>
          </cell>
          <cell r="BJ158" t="str">
            <v>1. Чугун</v>
          </cell>
          <cell r="BK158">
            <v>2</v>
          </cell>
          <cell r="BL158" t="str">
            <v>2.Кирпич</v>
          </cell>
          <cell r="BM158">
            <v>32509</v>
          </cell>
          <cell r="BN158">
            <v>32509</v>
          </cell>
          <cell r="BO158" t="str">
            <v>Оборудован</v>
          </cell>
          <cell r="BP158" t="str">
            <v>4.Мягк/рулонная</v>
          </cell>
          <cell r="BQ158" t="str">
            <v>2.Плоская</v>
          </cell>
          <cell r="BR158">
            <v>590.9</v>
          </cell>
          <cell r="BS158">
            <v>456</v>
          </cell>
          <cell r="BT158">
            <v>456</v>
          </cell>
          <cell r="BU158">
            <v>456</v>
          </cell>
          <cell r="BV158">
            <v>0</v>
          </cell>
          <cell r="BW158" t="str">
            <v>3.Частный жилищный фонд</v>
          </cell>
          <cell r="BX158">
            <v>0</v>
          </cell>
          <cell r="BY158">
            <v>71</v>
          </cell>
          <cell r="BZ158" t="str">
            <v>1-я</v>
          </cell>
          <cell r="CA158">
            <v>1</v>
          </cell>
          <cell r="CB158">
            <v>27.01</v>
          </cell>
          <cell r="CC158">
            <v>27.009994506835938</v>
          </cell>
          <cell r="CD158">
            <v>3302.8</v>
          </cell>
          <cell r="CE158">
            <v>3302.798828125</v>
          </cell>
          <cell r="CF158" t="str">
            <v>ООО "Гранд"</v>
          </cell>
          <cell r="CG158">
            <v>69</v>
          </cell>
          <cell r="CH158">
            <v>2</v>
          </cell>
          <cell r="CI158">
            <v>2</v>
          </cell>
          <cell r="CJ158" t="str">
            <v>имеется, работает</v>
          </cell>
          <cell r="CK158">
            <v>0</v>
          </cell>
          <cell r="CL158">
            <v>1</v>
          </cell>
          <cell r="CM158">
            <v>71</v>
          </cell>
          <cell r="CN158">
            <v>753.6</v>
          </cell>
          <cell r="CO158">
            <v>753.6</v>
          </cell>
          <cell r="CP158">
            <v>1209.5999999999999</v>
          </cell>
          <cell r="CQ158">
            <v>1209.599609375</v>
          </cell>
          <cell r="CR158">
            <v>1209.599609375</v>
          </cell>
          <cell r="CS158">
            <v>1</v>
          </cell>
          <cell r="CT158">
            <v>71</v>
          </cell>
          <cell r="CU158">
            <v>0</v>
          </cell>
          <cell r="CV158">
            <v>52</v>
          </cell>
          <cell r="CW158">
            <v>50</v>
          </cell>
          <cell r="CX158">
            <v>1</v>
          </cell>
          <cell r="CY158">
            <v>1</v>
          </cell>
          <cell r="CZ158">
            <v>21399</v>
          </cell>
          <cell r="DA158" t="str">
            <v>Демский</v>
          </cell>
          <cell r="DB158" t="str">
            <v>3.Сборные ж/б панели</v>
          </cell>
          <cell r="DC158">
            <v>21399</v>
          </cell>
          <cell r="DD158">
            <v>1</v>
          </cell>
          <cell r="DE158">
            <v>13730</v>
          </cell>
          <cell r="DF158" t="str">
            <v>Пластинчатый</v>
          </cell>
          <cell r="DG158" t="str">
            <v>ГВС и ЦО</v>
          </cell>
          <cell r="DH158" t="str">
            <v>АНО ЦЭС ЮГ</v>
          </cell>
          <cell r="DI158">
            <v>1</v>
          </cell>
          <cell r="DJ158" t="str">
            <v>АО УЖХ Демского района</v>
          </cell>
          <cell r="DK158">
            <v>1</v>
          </cell>
          <cell r="DL158">
            <v>1</v>
          </cell>
          <cell r="DM158">
            <v>10110620</v>
          </cell>
          <cell r="DN158">
            <v>1</v>
          </cell>
          <cell r="DO158" t="str">
            <v>ГВС</v>
          </cell>
          <cell r="DP158" t="str">
            <v>УЖХ</v>
          </cell>
          <cell r="DQ158">
            <v>39904</v>
          </cell>
          <cell r="DR158">
            <v>0</v>
          </cell>
          <cell r="DS158">
            <v>0</v>
          </cell>
          <cell r="DT158">
            <v>71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0</v>
          </cell>
          <cell r="EC158">
            <v>0</v>
          </cell>
          <cell r="ED158" t="str">
            <v>3.Зависимая схема</v>
          </cell>
          <cell r="EE158" t="str">
            <v>Верхний</v>
          </cell>
          <cell r="EF158">
            <v>0</v>
          </cell>
          <cell r="EG158">
            <v>0</v>
          </cell>
          <cell r="EH158">
            <v>420</v>
          </cell>
          <cell r="EI158">
            <v>1182.9000000000001</v>
          </cell>
          <cell r="EJ158">
            <v>393.5</v>
          </cell>
          <cell r="EK158">
            <v>828.3</v>
          </cell>
          <cell r="EL158">
            <v>828.2998046875</v>
          </cell>
          <cell r="EM158">
            <v>41.2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0</v>
          </cell>
          <cell r="EU158">
            <v>0</v>
          </cell>
          <cell r="EV158">
            <v>0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22</v>
          </cell>
          <cell r="FG158">
            <v>2</v>
          </cell>
          <cell r="FH158">
            <v>2</v>
          </cell>
          <cell r="FI158">
            <v>43879</v>
          </cell>
          <cell r="FJ158">
            <v>15477</v>
          </cell>
          <cell r="FK158">
            <v>15477</v>
          </cell>
          <cell r="FL158">
            <v>5089.5</v>
          </cell>
          <cell r="FM158">
            <v>78.92</v>
          </cell>
          <cell r="FN158">
            <v>1917.71</v>
          </cell>
          <cell r="FO158">
            <v>1917.71</v>
          </cell>
        </row>
        <row r="159">
          <cell r="AI159" t="str">
            <v>Ул. Правды дом 2</v>
          </cell>
          <cell r="AJ159">
            <v>1917.7099609375</v>
          </cell>
          <cell r="AK159">
            <v>1375.9</v>
          </cell>
          <cell r="AL159">
            <v>906.7</v>
          </cell>
          <cell r="AM159">
            <v>3</v>
          </cell>
          <cell r="AN159">
            <v>3</v>
          </cell>
          <cell r="AO159" t="str">
            <v>АО УЖХ Демского района</v>
          </cell>
          <cell r="AP159">
            <v>1341.6</v>
          </cell>
          <cell r="AQ159">
            <v>31.4</v>
          </cell>
          <cell r="AR159">
            <v>144.69999999999999</v>
          </cell>
          <cell r="AS159">
            <v>9.3000000000000007</v>
          </cell>
          <cell r="AT159">
            <v>33</v>
          </cell>
          <cell r="AU159">
            <v>3</v>
          </cell>
          <cell r="AV159">
            <v>67</v>
          </cell>
          <cell r="AW159">
            <v>0</v>
          </cell>
          <cell r="AX159">
            <v>0</v>
          </cell>
          <cell r="AY159">
            <v>123.5</v>
          </cell>
          <cell r="AZ159">
            <v>1120.5</v>
          </cell>
          <cell r="BA159">
            <v>891.9</v>
          </cell>
          <cell r="BB159">
            <v>891.89990234375</v>
          </cell>
          <cell r="BC159" t="str">
            <v>Управляющая компания</v>
          </cell>
          <cell r="BD159" t="str">
            <v>1. Жилой дом</v>
          </cell>
          <cell r="BE159">
            <v>50.2</v>
          </cell>
          <cell r="BF159" t="str">
            <v>1.Оцинкованный</v>
          </cell>
          <cell r="BG159">
            <v>50.199981689453125</v>
          </cell>
          <cell r="BH159" t="str">
            <v>3.Водяной</v>
          </cell>
          <cell r="BI159" t="str">
            <v>МУП УИС</v>
          </cell>
          <cell r="BJ159" t="str">
            <v>1. Чугун</v>
          </cell>
          <cell r="BK159">
            <v>50.199981689453125</v>
          </cell>
          <cell r="BL159" t="str">
            <v>2.Кирпич</v>
          </cell>
          <cell r="BM159">
            <v>22282</v>
          </cell>
          <cell r="BN159">
            <v>33</v>
          </cell>
          <cell r="BO159" t="str">
            <v>Оборудован</v>
          </cell>
          <cell r="BP159" t="str">
            <v>1.Абсоцемент(шифер)</v>
          </cell>
          <cell r="BQ159" t="str">
            <v>1.Скатная</v>
          </cell>
          <cell r="BR159">
            <v>826</v>
          </cell>
          <cell r="BS159">
            <v>678</v>
          </cell>
          <cell r="BT159">
            <v>678</v>
          </cell>
          <cell r="BU159">
            <v>678</v>
          </cell>
          <cell r="BV159">
            <v>0</v>
          </cell>
          <cell r="BW159" t="str">
            <v>3.Частный жилищный фонд</v>
          </cell>
          <cell r="BX159">
            <v>33</v>
          </cell>
          <cell r="BY159">
            <v>0</v>
          </cell>
          <cell r="BZ159" t="str">
            <v>2-я</v>
          </cell>
          <cell r="CA159">
            <v>1</v>
          </cell>
          <cell r="CB159">
            <v>27.01</v>
          </cell>
          <cell r="CC159">
            <v>1</v>
          </cell>
          <cell r="CD159">
            <v>1</v>
          </cell>
          <cell r="CE159">
            <v>1498.9</v>
          </cell>
          <cell r="CF159" t="str">
            <v>ООО "Гранд"</v>
          </cell>
          <cell r="CG159">
            <v>32</v>
          </cell>
          <cell r="CH159">
            <v>1</v>
          </cell>
          <cell r="CI159">
            <v>1</v>
          </cell>
          <cell r="CJ159">
            <v>1</v>
          </cell>
          <cell r="CK159">
            <v>0</v>
          </cell>
          <cell r="CL159">
            <v>0</v>
          </cell>
          <cell r="CM159">
            <v>33</v>
          </cell>
          <cell r="CN159">
            <v>154</v>
          </cell>
          <cell r="CO159">
            <v>0</v>
          </cell>
          <cell r="CP159">
            <v>832</v>
          </cell>
          <cell r="CQ159">
            <v>832</v>
          </cell>
          <cell r="CR159">
            <v>832</v>
          </cell>
          <cell r="CS159">
            <v>0</v>
          </cell>
          <cell r="CT159">
            <v>33</v>
          </cell>
          <cell r="CU159">
            <v>0</v>
          </cell>
          <cell r="CV159">
            <v>31</v>
          </cell>
          <cell r="CW159">
            <v>0</v>
          </cell>
          <cell r="CX159">
            <v>1</v>
          </cell>
          <cell r="CY159">
            <v>1</v>
          </cell>
          <cell r="CZ159">
            <v>5695</v>
          </cell>
          <cell r="DA159" t="str">
            <v>Демский</v>
          </cell>
          <cell r="DB159" t="str">
            <v>3.Сборные ж/б панели</v>
          </cell>
          <cell r="DC159">
            <v>5695</v>
          </cell>
          <cell r="DD159">
            <v>5695</v>
          </cell>
          <cell r="DE159">
            <v>5695</v>
          </cell>
          <cell r="DF159">
            <v>5695</v>
          </cell>
          <cell r="DG159">
            <v>5695</v>
          </cell>
          <cell r="DH159">
            <v>5695</v>
          </cell>
          <cell r="DI159">
            <v>5695</v>
          </cell>
          <cell r="DJ159">
            <v>5695</v>
          </cell>
          <cell r="DK159">
            <v>0</v>
          </cell>
          <cell r="DL159">
            <v>0</v>
          </cell>
          <cell r="DM159">
            <v>2993641</v>
          </cell>
          <cell r="DN159">
            <v>1</v>
          </cell>
          <cell r="DO159">
            <v>1</v>
          </cell>
          <cell r="DP159" t="str">
            <v>УЖХ</v>
          </cell>
          <cell r="DQ159">
            <v>35578</v>
          </cell>
          <cell r="DR159">
            <v>0</v>
          </cell>
          <cell r="DS159">
            <v>36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 t="str">
            <v>3.Зависимая схема</v>
          </cell>
          <cell r="EE159" t="str">
            <v>Верхний</v>
          </cell>
          <cell r="EF159">
            <v>0</v>
          </cell>
          <cell r="EG159">
            <v>678</v>
          </cell>
          <cell r="EH159">
            <v>678</v>
          </cell>
          <cell r="EI159">
            <v>891.9</v>
          </cell>
          <cell r="EJ159">
            <v>360</v>
          </cell>
          <cell r="EK159">
            <v>552.5</v>
          </cell>
          <cell r="EL159">
            <v>120</v>
          </cell>
          <cell r="EM159">
            <v>88</v>
          </cell>
          <cell r="EN159">
            <v>0</v>
          </cell>
          <cell r="EO159">
            <v>0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T159">
            <v>0</v>
          </cell>
          <cell r="EU159">
            <v>0</v>
          </cell>
          <cell r="EV159">
            <v>0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14</v>
          </cell>
          <cell r="FG159">
            <v>14</v>
          </cell>
          <cell r="FH159" t="str">
            <v>С УЛК (ЖЭУ)</v>
          </cell>
          <cell r="FI159">
            <v>44013</v>
          </cell>
          <cell r="FJ159">
            <v>15477</v>
          </cell>
          <cell r="FK159">
            <v>15477</v>
          </cell>
          <cell r="FL159">
            <v>2331.4</v>
          </cell>
          <cell r="FM159">
            <v>78.92</v>
          </cell>
          <cell r="FN159">
            <v>3495.69</v>
          </cell>
          <cell r="FO159">
            <v>10487.07</v>
          </cell>
        </row>
        <row r="160">
          <cell r="AI160" t="str">
            <v>Ул. Правды дом 3</v>
          </cell>
          <cell r="AJ160">
            <v>10487.0625</v>
          </cell>
          <cell r="AK160">
            <v>2601.8000000000002</v>
          </cell>
          <cell r="AL160">
            <v>1813.5</v>
          </cell>
          <cell r="AM160">
            <v>4</v>
          </cell>
          <cell r="AN160">
            <v>4</v>
          </cell>
          <cell r="AO160" t="str">
            <v>АО УЖХ Демского района</v>
          </cell>
          <cell r="AP160">
            <v>2363.4</v>
          </cell>
          <cell r="AQ160">
            <v>239.2</v>
          </cell>
          <cell r="AR160">
            <v>286.39999999999998</v>
          </cell>
          <cell r="AS160">
            <v>8.4</v>
          </cell>
          <cell r="AT160">
            <v>60</v>
          </cell>
          <cell r="AU160">
            <v>5</v>
          </cell>
          <cell r="AV160">
            <v>136</v>
          </cell>
          <cell r="AW160">
            <v>0</v>
          </cell>
          <cell r="AX160">
            <v>0</v>
          </cell>
          <cell r="AY160">
            <v>0</v>
          </cell>
          <cell r="AZ160">
            <v>527.79999999999995</v>
          </cell>
          <cell r="BA160">
            <v>2020.8</v>
          </cell>
          <cell r="BB160">
            <v>2020.7998046875</v>
          </cell>
          <cell r="BC160" t="str">
            <v>Управляющая компания</v>
          </cell>
          <cell r="BD160" t="str">
            <v>1. Жилой дом</v>
          </cell>
          <cell r="BE160">
            <v>46.2</v>
          </cell>
          <cell r="BF160" t="str">
            <v>1.Оцинкованный</v>
          </cell>
          <cell r="BG160">
            <v>46.199981689453125</v>
          </cell>
          <cell r="BH160" t="str">
            <v>3.Водяной</v>
          </cell>
          <cell r="BI160" t="str">
            <v>МУП УИС</v>
          </cell>
          <cell r="BJ160" t="str">
            <v>1. Чугун</v>
          </cell>
          <cell r="BK160">
            <v>46.199981689453125</v>
          </cell>
          <cell r="BL160" t="str">
            <v>8.Сборные ж/б</v>
          </cell>
          <cell r="BM160">
            <v>24108</v>
          </cell>
          <cell r="BN160">
            <v>60</v>
          </cell>
          <cell r="BO160" t="str">
            <v>Оборудован</v>
          </cell>
          <cell r="BP160" t="str">
            <v>4.Мягк/рулонная</v>
          </cell>
          <cell r="BQ160" t="str">
            <v>2.Плоская</v>
          </cell>
          <cell r="BR160">
            <v>742.6</v>
          </cell>
          <cell r="BS160">
            <v>675.1</v>
          </cell>
          <cell r="BT160">
            <v>675.099609375</v>
          </cell>
          <cell r="BU160">
            <v>675.099609375</v>
          </cell>
          <cell r="BV160">
            <v>0</v>
          </cell>
          <cell r="BW160" t="str">
            <v>3.Частный жилищный фонд</v>
          </cell>
          <cell r="BX160">
            <v>60</v>
          </cell>
          <cell r="BY160">
            <v>0</v>
          </cell>
          <cell r="BZ160" t="str">
            <v>2-я</v>
          </cell>
          <cell r="CA160">
            <v>1</v>
          </cell>
          <cell r="CB160">
            <v>27.01</v>
          </cell>
          <cell r="CC160">
            <v>1</v>
          </cell>
          <cell r="CD160">
            <v>1</v>
          </cell>
          <cell r="CE160">
            <v>2602.6</v>
          </cell>
          <cell r="CF160" t="str">
            <v>ООО "Гранд"</v>
          </cell>
          <cell r="CG160">
            <v>55</v>
          </cell>
          <cell r="CH160">
            <v>5</v>
          </cell>
          <cell r="CI160">
            <v>5</v>
          </cell>
          <cell r="CJ160">
            <v>5</v>
          </cell>
          <cell r="CK160">
            <v>1</v>
          </cell>
          <cell r="CL160">
            <v>1</v>
          </cell>
          <cell r="CM160">
            <v>62</v>
          </cell>
          <cell r="CN160">
            <v>294.8</v>
          </cell>
          <cell r="CO160">
            <v>0</v>
          </cell>
          <cell r="CP160">
            <v>969.9</v>
          </cell>
          <cell r="CQ160">
            <v>969.89990234375</v>
          </cell>
          <cell r="CR160">
            <v>969.89990234375</v>
          </cell>
          <cell r="CS160">
            <v>1</v>
          </cell>
          <cell r="CT160">
            <v>60</v>
          </cell>
          <cell r="CU160">
            <v>0</v>
          </cell>
          <cell r="CV160">
            <v>44</v>
          </cell>
          <cell r="CW160">
            <v>0</v>
          </cell>
          <cell r="CX160">
            <v>1</v>
          </cell>
          <cell r="CY160">
            <v>1</v>
          </cell>
          <cell r="CZ160">
            <v>9623</v>
          </cell>
          <cell r="DA160" t="str">
            <v>Демский</v>
          </cell>
          <cell r="DB160" t="str">
            <v>3.Сборные ж/б панели</v>
          </cell>
          <cell r="DC160">
            <v>9623</v>
          </cell>
          <cell r="DD160">
            <v>9623</v>
          </cell>
          <cell r="DE160">
            <v>9623</v>
          </cell>
          <cell r="DF160">
            <v>9623</v>
          </cell>
          <cell r="DG160">
            <v>9623</v>
          </cell>
          <cell r="DH160">
            <v>9623</v>
          </cell>
          <cell r="DI160">
            <v>9623</v>
          </cell>
          <cell r="DJ160">
            <v>9623</v>
          </cell>
          <cell r="DK160">
            <v>0</v>
          </cell>
          <cell r="DL160">
            <v>0</v>
          </cell>
          <cell r="DM160">
            <v>4719799</v>
          </cell>
          <cell r="DN160">
            <v>4</v>
          </cell>
          <cell r="DO160">
            <v>4</v>
          </cell>
          <cell r="DP160" t="str">
            <v>УЖХ</v>
          </cell>
          <cell r="DQ160">
            <v>39202</v>
          </cell>
          <cell r="DR160">
            <v>0</v>
          </cell>
          <cell r="DS160">
            <v>60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 t="str">
            <v>3.Зависимая схема</v>
          </cell>
          <cell r="EE160" t="str">
            <v>Нижний</v>
          </cell>
          <cell r="EF160">
            <v>0</v>
          </cell>
          <cell r="EG160">
            <v>0</v>
          </cell>
          <cell r="EH160">
            <v>1410</v>
          </cell>
          <cell r="EI160">
            <v>610.79999999999995</v>
          </cell>
          <cell r="EJ160">
            <v>112</v>
          </cell>
          <cell r="EK160">
            <v>342.6</v>
          </cell>
          <cell r="EL160">
            <v>40</v>
          </cell>
          <cell r="EM160">
            <v>33.200000000000003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14.39</v>
          </cell>
          <cell r="FG160">
            <v>2</v>
          </cell>
          <cell r="FH160">
            <v>2</v>
          </cell>
          <cell r="FI160">
            <v>44013</v>
          </cell>
          <cell r="FJ160">
            <v>15477</v>
          </cell>
          <cell r="FK160">
            <v>15477</v>
          </cell>
          <cell r="FL160">
            <v>3571.7</v>
          </cell>
          <cell r="FM160">
            <v>78.92</v>
          </cell>
          <cell r="FN160">
            <v>6355.8</v>
          </cell>
          <cell r="FO160">
            <v>19067.400000000001</v>
          </cell>
        </row>
        <row r="161">
          <cell r="AI161" t="str">
            <v>Ул. Левитана дом 13</v>
          </cell>
          <cell r="AJ161">
            <v>19067.390625</v>
          </cell>
          <cell r="AK161">
            <v>1352.1</v>
          </cell>
          <cell r="AL161">
            <v>839.9</v>
          </cell>
          <cell r="AM161">
            <v>3</v>
          </cell>
          <cell r="AN161">
            <v>3</v>
          </cell>
          <cell r="AO161" t="str">
            <v>АО УЖХ Демского района</v>
          </cell>
          <cell r="AP161">
            <v>1261.94</v>
          </cell>
          <cell r="AQ161">
            <v>90.16</v>
          </cell>
          <cell r="AR161">
            <v>121</v>
          </cell>
          <cell r="AS161">
            <v>11.5</v>
          </cell>
          <cell r="AT161">
            <v>16</v>
          </cell>
          <cell r="AU161">
            <v>2</v>
          </cell>
          <cell r="AV161">
            <v>53</v>
          </cell>
          <cell r="AW161">
            <v>0</v>
          </cell>
          <cell r="AX161">
            <v>0</v>
          </cell>
          <cell r="AY161">
            <v>84.1</v>
          </cell>
          <cell r="AZ161">
            <v>1123.5</v>
          </cell>
          <cell r="BA161">
            <v>1241.7</v>
          </cell>
          <cell r="BB161">
            <v>1241.69921875</v>
          </cell>
          <cell r="BC161" t="str">
            <v>Непосредственное</v>
          </cell>
          <cell r="BD161" t="str">
            <v>1. Жилой дом</v>
          </cell>
          <cell r="BE161">
            <v>67.75</v>
          </cell>
          <cell r="BF161" t="str">
            <v>2.Чёрный</v>
          </cell>
          <cell r="BG161">
            <v>67.75</v>
          </cell>
          <cell r="BH161" t="str">
            <v>3.Водяной</v>
          </cell>
          <cell r="BI161" t="str">
            <v>МУП УИС</v>
          </cell>
          <cell r="BJ161" t="str">
            <v>1. Чугун</v>
          </cell>
          <cell r="BK161">
            <v>67.75</v>
          </cell>
          <cell r="BL161" t="str">
            <v>4.Шлакоблок</v>
          </cell>
          <cell r="BM161">
            <v>20455</v>
          </cell>
          <cell r="BN161">
            <v>16</v>
          </cell>
          <cell r="BO161" t="str">
            <v>Оборудован</v>
          </cell>
          <cell r="BP161" t="str">
            <v>8.Профнастил</v>
          </cell>
          <cell r="BQ161" t="str">
            <v>1.Скатная</v>
          </cell>
          <cell r="BR161">
            <v>1217</v>
          </cell>
          <cell r="BS161">
            <v>345.6</v>
          </cell>
          <cell r="BT161">
            <v>345.599853515625</v>
          </cell>
          <cell r="BU161">
            <v>995.3</v>
          </cell>
          <cell r="BV161">
            <v>995.3</v>
          </cell>
          <cell r="BW161" t="str">
            <v>3.Частный жилищный фонд</v>
          </cell>
          <cell r="BX161">
            <v>16</v>
          </cell>
          <cell r="BY161">
            <v>0</v>
          </cell>
          <cell r="BZ161" t="str">
            <v>3-я</v>
          </cell>
          <cell r="CA161">
            <v>1</v>
          </cell>
          <cell r="CB161">
            <v>27.01</v>
          </cell>
          <cell r="CC161">
            <v>1</v>
          </cell>
          <cell r="CD161">
            <v>1</v>
          </cell>
          <cell r="CE161">
            <v>1</v>
          </cell>
          <cell r="CF161" t="str">
            <v>ООО "Гранд"</v>
          </cell>
          <cell r="CG161">
            <v>14</v>
          </cell>
          <cell r="CH161">
            <v>2</v>
          </cell>
          <cell r="CI161">
            <v>2</v>
          </cell>
          <cell r="CJ161">
            <v>2</v>
          </cell>
          <cell r="CK161">
            <v>0</v>
          </cell>
          <cell r="CL161">
            <v>0</v>
          </cell>
          <cell r="CM161">
            <v>39</v>
          </cell>
          <cell r="CN161">
            <v>132.5</v>
          </cell>
          <cell r="CO161">
            <v>0</v>
          </cell>
          <cell r="CP161">
            <v>1473.4</v>
          </cell>
          <cell r="CQ161">
            <v>1473.3994140625</v>
          </cell>
          <cell r="CR161">
            <v>1473.3994140625</v>
          </cell>
          <cell r="CS161">
            <v>0</v>
          </cell>
          <cell r="CT161">
            <v>16</v>
          </cell>
          <cell r="CU161">
            <v>0</v>
          </cell>
          <cell r="CV161">
            <v>0</v>
          </cell>
          <cell r="CW161">
            <v>0</v>
          </cell>
          <cell r="CX161">
            <v>1</v>
          </cell>
          <cell r="CY161">
            <v>1</v>
          </cell>
          <cell r="CZ161">
            <v>6946</v>
          </cell>
          <cell r="DA161" t="str">
            <v>Демский</v>
          </cell>
          <cell r="DB161" t="str">
            <v>2.Деревянные</v>
          </cell>
          <cell r="DC161">
            <v>6946</v>
          </cell>
          <cell r="DD161">
            <v>6946</v>
          </cell>
          <cell r="DE161">
            <v>6946</v>
          </cell>
          <cell r="DF161">
            <v>6946</v>
          </cell>
          <cell r="DG161">
            <v>6946</v>
          </cell>
          <cell r="DH161">
            <v>6946</v>
          </cell>
          <cell r="DI161">
            <v>6946</v>
          </cell>
          <cell r="DJ161">
            <v>6946</v>
          </cell>
          <cell r="DK161">
            <v>0</v>
          </cell>
          <cell r="DL161">
            <v>0</v>
          </cell>
          <cell r="DM161">
            <v>3584343</v>
          </cell>
          <cell r="DN161">
            <v>0</v>
          </cell>
          <cell r="DO161">
            <v>0</v>
          </cell>
          <cell r="DP161" t="str">
            <v>УЖХ</v>
          </cell>
          <cell r="DQ161">
            <v>40239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  <cell r="DX161">
            <v>0</v>
          </cell>
          <cell r="DY161">
            <v>0</v>
          </cell>
          <cell r="DZ161">
            <v>0</v>
          </cell>
          <cell r="EA161">
            <v>0</v>
          </cell>
          <cell r="EB161">
            <v>0</v>
          </cell>
          <cell r="EC161">
            <v>0</v>
          </cell>
          <cell r="ED161" t="str">
            <v>3.Зависимая схема</v>
          </cell>
          <cell r="EE161" t="str">
            <v>Верхний</v>
          </cell>
          <cell r="EF161">
            <v>0</v>
          </cell>
          <cell r="EG161">
            <v>0</v>
          </cell>
          <cell r="EH161">
            <v>0</v>
          </cell>
          <cell r="EI161">
            <v>1241.7</v>
          </cell>
          <cell r="EJ161">
            <v>376.1</v>
          </cell>
          <cell r="EK161">
            <v>609.6</v>
          </cell>
          <cell r="EL161">
            <v>52.5</v>
          </cell>
          <cell r="EM161">
            <v>25.5</v>
          </cell>
          <cell r="EN161">
            <v>0</v>
          </cell>
          <cell r="EO161">
            <v>0</v>
          </cell>
          <cell r="EP161">
            <v>0</v>
          </cell>
          <cell r="EQ161">
            <v>0</v>
          </cell>
          <cell r="ER161">
            <v>0</v>
          </cell>
          <cell r="ES161">
            <v>0</v>
          </cell>
          <cell r="ET161">
            <v>0</v>
          </cell>
          <cell r="EU161">
            <v>0</v>
          </cell>
          <cell r="EV161">
            <v>0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59.8</v>
          </cell>
          <cell r="FB161">
            <v>1</v>
          </cell>
          <cell r="FC161">
            <v>1</v>
          </cell>
          <cell r="FD161">
            <v>0</v>
          </cell>
          <cell r="FE161">
            <v>0</v>
          </cell>
          <cell r="FF161">
            <v>15.43</v>
          </cell>
          <cell r="FG161">
            <v>15.42999267578125</v>
          </cell>
          <cell r="FH161" t="str">
            <v>расчет</v>
          </cell>
          <cell r="FI161">
            <v>43466</v>
          </cell>
          <cell r="FJ161">
            <v>15477</v>
          </cell>
          <cell r="FK161">
            <v>15477</v>
          </cell>
          <cell r="FL161">
            <v>1914.3</v>
          </cell>
          <cell r="FM161">
            <v>78.92</v>
          </cell>
          <cell r="FN161">
            <v>1694.88</v>
          </cell>
          <cell r="FO161">
            <v>5084.6400000000003</v>
          </cell>
        </row>
        <row r="162">
          <cell r="AI162" t="str">
            <v>Ул. Правды дом 4</v>
          </cell>
          <cell r="AJ162">
            <v>5084.63671875</v>
          </cell>
          <cell r="AK162">
            <v>1444.5</v>
          </cell>
          <cell r="AL162">
            <v>958.2</v>
          </cell>
          <cell r="AM162">
            <v>3</v>
          </cell>
          <cell r="AN162">
            <v>3</v>
          </cell>
          <cell r="AO162" t="str">
            <v>АО УЖХ Демского района</v>
          </cell>
          <cell r="AP162">
            <v>1440.2</v>
          </cell>
          <cell r="AQ162">
            <v>0</v>
          </cell>
          <cell r="AR162">
            <v>112.2</v>
          </cell>
          <cell r="AS162">
            <v>0</v>
          </cell>
          <cell r="AT162">
            <v>34</v>
          </cell>
          <cell r="AU162">
            <v>3</v>
          </cell>
          <cell r="AV162">
            <v>57</v>
          </cell>
          <cell r="AW162">
            <v>0</v>
          </cell>
          <cell r="AX162">
            <v>0</v>
          </cell>
          <cell r="AY162">
            <v>134.6</v>
          </cell>
          <cell r="AZ162">
            <v>1137.0999999999999</v>
          </cell>
          <cell r="BA162">
            <v>858</v>
          </cell>
          <cell r="BB162">
            <v>858</v>
          </cell>
          <cell r="BC162" t="str">
            <v>Управляющая компания</v>
          </cell>
          <cell r="BD162" t="str">
            <v>1. Жилой дом</v>
          </cell>
          <cell r="BE162">
            <v>50.2</v>
          </cell>
          <cell r="BF162" t="str">
            <v>2.Чёрный</v>
          </cell>
          <cell r="BG162">
            <v>50.199981689453125</v>
          </cell>
          <cell r="BH162" t="str">
            <v>3.Водяной</v>
          </cell>
          <cell r="BI162" t="str">
            <v>МУП УИС</v>
          </cell>
          <cell r="BJ162" t="str">
            <v>1. Чугун</v>
          </cell>
          <cell r="BK162">
            <v>50.199981689453125</v>
          </cell>
          <cell r="BL162" t="str">
            <v>2.Кирпич</v>
          </cell>
          <cell r="BM162">
            <v>22282</v>
          </cell>
          <cell r="BN162">
            <v>34</v>
          </cell>
          <cell r="BO162" t="str">
            <v>Оборудован</v>
          </cell>
          <cell r="BP162" t="str">
            <v>1.Абсоцемент(шифер)</v>
          </cell>
          <cell r="BQ162" t="str">
            <v>1.Скатная</v>
          </cell>
          <cell r="BR162">
            <v>883</v>
          </cell>
          <cell r="BS162">
            <v>679.3</v>
          </cell>
          <cell r="BT162">
            <v>679.2998046875</v>
          </cell>
          <cell r="BU162">
            <v>679.2998046875</v>
          </cell>
          <cell r="BV162">
            <v>0</v>
          </cell>
          <cell r="BW162" t="str">
            <v>3.Частный жилищный фонд</v>
          </cell>
          <cell r="BX162">
            <v>34</v>
          </cell>
          <cell r="BY162">
            <v>0</v>
          </cell>
          <cell r="BZ162" t="str">
            <v>2-я</v>
          </cell>
          <cell r="CA162">
            <v>1</v>
          </cell>
          <cell r="CB162">
            <v>27.01</v>
          </cell>
          <cell r="CC162">
            <v>1</v>
          </cell>
          <cell r="CD162">
            <v>1</v>
          </cell>
          <cell r="CE162">
            <v>1513.2</v>
          </cell>
          <cell r="CF162" t="str">
            <v>ООО "Гранд"</v>
          </cell>
          <cell r="CG162">
            <v>34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34</v>
          </cell>
          <cell r="CN162">
            <v>112.2</v>
          </cell>
          <cell r="CO162">
            <v>0</v>
          </cell>
          <cell r="CP162">
            <v>791.5</v>
          </cell>
          <cell r="CQ162">
            <v>791.5</v>
          </cell>
          <cell r="CR162">
            <v>791.5</v>
          </cell>
          <cell r="CS162">
            <v>1</v>
          </cell>
          <cell r="CT162">
            <v>34</v>
          </cell>
          <cell r="CU162">
            <v>0</v>
          </cell>
          <cell r="CV162">
            <v>31</v>
          </cell>
          <cell r="CW162">
            <v>0</v>
          </cell>
          <cell r="CX162">
            <v>1</v>
          </cell>
          <cell r="CY162">
            <v>1</v>
          </cell>
          <cell r="CZ162">
            <v>5944</v>
          </cell>
          <cell r="DA162" t="str">
            <v>Демский</v>
          </cell>
          <cell r="DB162" t="str">
            <v>3.Сборные ж/б панели</v>
          </cell>
          <cell r="DC162">
            <v>5944</v>
          </cell>
          <cell r="DD162">
            <v>5944</v>
          </cell>
          <cell r="DE162">
            <v>5944</v>
          </cell>
          <cell r="DF162">
            <v>5944</v>
          </cell>
          <cell r="DG162">
            <v>5944</v>
          </cell>
          <cell r="DH162">
            <v>5944</v>
          </cell>
          <cell r="DI162">
            <v>5944</v>
          </cell>
          <cell r="DJ162">
            <v>5944</v>
          </cell>
          <cell r="DK162">
            <v>0</v>
          </cell>
          <cell r="DL162">
            <v>0</v>
          </cell>
          <cell r="DM162">
            <v>2945935</v>
          </cell>
          <cell r="DN162">
            <v>0</v>
          </cell>
          <cell r="DO162">
            <v>0</v>
          </cell>
          <cell r="DP162" t="str">
            <v>УЖХ</v>
          </cell>
          <cell r="DQ162">
            <v>35629</v>
          </cell>
          <cell r="DR162">
            <v>0</v>
          </cell>
          <cell r="DS162">
            <v>36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0</v>
          </cell>
          <cell r="EA162">
            <v>0</v>
          </cell>
          <cell r="EB162">
            <v>0</v>
          </cell>
          <cell r="EC162">
            <v>0</v>
          </cell>
          <cell r="ED162" t="str">
            <v>3.Зависимая схема</v>
          </cell>
          <cell r="EE162" t="str">
            <v>Верхний</v>
          </cell>
          <cell r="EF162">
            <v>0</v>
          </cell>
          <cell r="EG162">
            <v>679</v>
          </cell>
          <cell r="EH162">
            <v>0</v>
          </cell>
          <cell r="EI162">
            <v>858</v>
          </cell>
          <cell r="EJ162">
            <v>440.7</v>
          </cell>
          <cell r="EK162">
            <v>561.6</v>
          </cell>
          <cell r="EL162">
            <v>0</v>
          </cell>
          <cell r="EM162">
            <v>134.80000000000001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16.96</v>
          </cell>
          <cell r="FG162">
            <v>16.959991455078125</v>
          </cell>
          <cell r="FH162" t="str">
            <v>С УЛК (ЖЭУ)</v>
          </cell>
          <cell r="FI162">
            <v>43039</v>
          </cell>
          <cell r="FJ162">
            <v>15477</v>
          </cell>
          <cell r="FK162">
            <v>15477</v>
          </cell>
          <cell r="FL162">
            <v>2370.6</v>
          </cell>
          <cell r="FM162">
            <v>78.92</v>
          </cell>
          <cell r="FN162">
            <v>3601.6200000000003</v>
          </cell>
          <cell r="FO162">
            <v>10804.86</v>
          </cell>
        </row>
        <row r="163">
          <cell r="AI163" t="str">
            <v>Ул. Правды дом 4/1</v>
          </cell>
          <cell r="AJ163">
            <v>10804.859375</v>
          </cell>
          <cell r="AK163">
            <v>2019.3</v>
          </cell>
          <cell r="AL163">
            <v>1344</v>
          </cell>
          <cell r="AM163">
            <v>3</v>
          </cell>
          <cell r="AN163">
            <v>3</v>
          </cell>
          <cell r="AO163" t="str">
            <v>АО УЖХ Демского района</v>
          </cell>
          <cell r="AP163">
            <v>1970.1</v>
          </cell>
          <cell r="AQ163">
            <v>44.2</v>
          </cell>
          <cell r="AR163">
            <v>171.3</v>
          </cell>
          <cell r="AS163">
            <v>6.6</v>
          </cell>
          <cell r="AT163">
            <v>48</v>
          </cell>
          <cell r="AU163">
            <v>4</v>
          </cell>
          <cell r="AV163">
            <v>106</v>
          </cell>
          <cell r="AW163">
            <v>0</v>
          </cell>
          <cell r="AX163">
            <v>0</v>
          </cell>
          <cell r="AY163">
            <v>0</v>
          </cell>
          <cell r="AZ163">
            <v>711.1</v>
          </cell>
          <cell r="BA163">
            <v>1609.5</v>
          </cell>
          <cell r="BB163">
            <v>1609.5</v>
          </cell>
          <cell r="BC163" t="str">
            <v>Управляющая компания</v>
          </cell>
          <cell r="BD163" t="str">
            <v>1. Жилой дом</v>
          </cell>
          <cell r="BE163">
            <v>50.2</v>
          </cell>
          <cell r="BF163" t="str">
            <v>1.Оцинкованный</v>
          </cell>
          <cell r="BG163">
            <v>50.199981689453125</v>
          </cell>
          <cell r="BH163" t="str">
            <v>3.Водяной</v>
          </cell>
          <cell r="BI163" t="str">
            <v>МУП УИС</v>
          </cell>
          <cell r="BJ163" t="str">
            <v>1. Чугун</v>
          </cell>
          <cell r="BK163">
            <v>50.199981689453125</v>
          </cell>
          <cell r="BL163" t="str">
            <v>8.Сборные ж/б</v>
          </cell>
          <cell r="BM163">
            <v>22282</v>
          </cell>
          <cell r="BN163">
            <v>48</v>
          </cell>
          <cell r="BO163" t="str">
            <v>Оборудован</v>
          </cell>
          <cell r="BP163" t="str">
            <v>1.Абсоцемент(шифер)</v>
          </cell>
          <cell r="BQ163" t="str">
            <v>1.Скатная</v>
          </cell>
          <cell r="BR163">
            <v>829</v>
          </cell>
          <cell r="BS163">
            <v>641.70000000000005</v>
          </cell>
          <cell r="BT163">
            <v>641.69970703125</v>
          </cell>
          <cell r="BU163">
            <v>641.69970703125</v>
          </cell>
          <cell r="BV163">
            <v>0</v>
          </cell>
          <cell r="BW163" t="str">
            <v>3.Частный жилищный фонд</v>
          </cell>
          <cell r="BX163">
            <v>48</v>
          </cell>
          <cell r="BY163">
            <v>0</v>
          </cell>
          <cell r="BZ163" t="str">
            <v>2-я</v>
          </cell>
          <cell r="CA163">
            <v>1</v>
          </cell>
          <cell r="CB163">
            <v>27.01</v>
          </cell>
          <cell r="CC163">
            <v>1</v>
          </cell>
          <cell r="CD163">
            <v>1</v>
          </cell>
          <cell r="CE163">
            <v>2014.3</v>
          </cell>
          <cell r="CF163" t="str">
            <v>ООО "Гранд"</v>
          </cell>
          <cell r="CG163">
            <v>47</v>
          </cell>
          <cell r="CH163">
            <v>1</v>
          </cell>
          <cell r="CI163">
            <v>1</v>
          </cell>
          <cell r="CJ163">
            <v>1</v>
          </cell>
          <cell r="CK163">
            <v>0</v>
          </cell>
          <cell r="CL163">
            <v>0</v>
          </cell>
          <cell r="CM163">
            <v>52</v>
          </cell>
          <cell r="CN163">
            <v>177.9</v>
          </cell>
          <cell r="CO163">
            <v>0</v>
          </cell>
          <cell r="CP163">
            <v>819.6</v>
          </cell>
          <cell r="CQ163">
            <v>819.599609375</v>
          </cell>
          <cell r="CR163">
            <v>819.599609375</v>
          </cell>
          <cell r="CS163">
            <v>1</v>
          </cell>
          <cell r="CT163">
            <v>48</v>
          </cell>
          <cell r="CU163">
            <v>0</v>
          </cell>
          <cell r="CV163">
            <v>42</v>
          </cell>
          <cell r="CW163">
            <v>0</v>
          </cell>
          <cell r="CX163">
            <v>1</v>
          </cell>
          <cell r="CY163">
            <v>1</v>
          </cell>
          <cell r="CZ163">
            <v>7182</v>
          </cell>
          <cell r="DA163" t="str">
            <v>Демский</v>
          </cell>
          <cell r="DB163" t="str">
            <v>3.Сборные ж/б панели</v>
          </cell>
          <cell r="DC163">
            <v>7182</v>
          </cell>
          <cell r="DD163">
            <v>7182</v>
          </cell>
          <cell r="DE163">
            <v>7182</v>
          </cell>
          <cell r="DF163">
            <v>7182</v>
          </cell>
          <cell r="DG163">
            <v>7182</v>
          </cell>
          <cell r="DH163">
            <v>7182</v>
          </cell>
          <cell r="DI163">
            <v>7182</v>
          </cell>
          <cell r="DJ163">
            <v>7182</v>
          </cell>
          <cell r="DK163">
            <v>0</v>
          </cell>
          <cell r="DL163">
            <v>0</v>
          </cell>
          <cell r="DM163">
            <v>3116638</v>
          </cell>
          <cell r="DN163">
            <v>0</v>
          </cell>
          <cell r="DO163">
            <v>0</v>
          </cell>
          <cell r="DP163" t="str">
            <v>УЖХ</v>
          </cell>
          <cell r="DQ163">
            <v>39202</v>
          </cell>
          <cell r="DR163">
            <v>0</v>
          </cell>
          <cell r="DS163">
            <v>48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 t="str">
            <v>3.Зависимая схема</v>
          </cell>
          <cell r="EE163" t="str">
            <v>Верхний</v>
          </cell>
          <cell r="EF163">
            <v>0</v>
          </cell>
          <cell r="EG163">
            <v>0</v>
          </cell>
          <cell r="EH163">
            <v>0</v>
          </cell>
          <cell r="EI163">
            <v>1609.5</v>
          </cell>
          <cell r="EJ163">
            <v>53.1</v>
          </cell>
          <cell r="EK163">
            <v>354</v>
          </cell>
          <cell r="EL163">
            <v>354</v>
          </cell>
          <cell r="EM163">
            <v>128.5</v>
          </cell>
          <cell r="EN163">
            <v>0</v>
          </cell>
          <cell r="EO163">
            <v>175.5</v>
          </cell>
          <cell r="EP163">
            <v>1</v>
          </cell>
          <cell r="EQ163">
            <v>1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16.38</v>
          </cell>
          <cell r="FG163">
            <v>16.379989624023438</v>
          </cell>
          <cell r="FH163" t="str">
            <v>С УЛК (ЖЭУ)</v>
          </cell>
          <cell r="FI163">
            <v>43126</v>
          </cell>
          <cell r="FJ163">
            <v>15477</v>
          </cell>
          <cell r="FK163">
            <v>15477</v>
          </cell>
          <cell r="FL163">
            <v>2838.9</v>
          </cell>
          <cell r="FM163">
            <v>78.92</v>
          </cell>
          <cell r="FN163">
            <v>5084.6399999999994</v>
          </cell>
          <cell r="FO163">
            <v>15253.919999999998</v>
          </cell>
        </row>
        <row r="164">
          <cell r="AI164" t="str">
            <v>Ул. Правды дом 6</v>
          </cell>
          <cell r="AJ164">
            <v>15253.9140625</v>
          </cell>
          <cell r="AK164">
            <v>1467.6</v>
          </cell>
          <cell r="AL164">
            <v>983.2</v>
          </cell>
          <cell r="AM164">
            <v>3</v>
          </cell>
          <cell r="AN164">
            <v>3</v>
          </cell>
          <cell r="AO164" t="str">
            <v>АО УЖХ Демского района</v>
          </cell>
          <cell r="AP164">
            <v>1467.6</v>
          </cell>
          <cell r="AQ164">
            <v>0</v>
          </cell>
          <cell r="AR164">
            <v>120.5</v>
          </cell>
          <cell r="AS164">
            <v>0</v>
          </cell>
          <cell r="AT164">
            <v>35</v>
          </cell>
          <cell r="AU164">
            <v>3</v>
          </cell>
          <cell r="AV164">
            <v>69</v>
          </cell>
          <cell r="AW164">
            <v>0</v>
          </cell>
          <cell r="AX164">
            <v>0</v>
          </cell>
          <cell r="AY164">
            <v>40.299999999999997</v>
          </cell>
          <cell r="AZ164">
            <v>1165.8599999999999</v>
          </cell>
          <cell r="BA164">
            <v>5386.2</v>
          </cell>
          <cell r="BB164">
            <v>5386.19921875</v>
          </cell>
          <cell r="BC164" t="str">
            <v>Управляющая компания</v>
          </cell>
          <cell r="BD164" t="str">
            <v>1. Жилой дом</v>
          </cell>
          <cell r="BE164">
            <v>50.2</v>
          </cell>
          <cell r="BF164" t="str">
            <v>1.Оцинкованный</v>
          </cell>
          <cell r="BG164">
            <v>50.199981689453125</v>
          </cell>
          <cell r="BH164" t="str">
            <v>3.Водяной</v>
          </cell>
          <cell r="BI164" t="str">
            <v>МУП УИС</v>
          </cell>
          <cell r="BJ164" t="str">
            <v>1. Чугун</v>
          </cell>
          <cell r="BK164">
            <v>50.199981689453125</v>
          </cell>
          <cell r="BL164" t="str">
            <v>2.Кирпич</v>
          </cell>
          <cell r="BM164">
            <v>22282</v>
          </cell>
          <cell r="BN164">
            <v>35</v>
          </cell>
          <cell r="BO164" t="str">
            <v>Оборудован</v>
          </cell>
          <cell r="BP164" t="str">
            <v>1.Абсоцемент(шифер)</v>
          </cell>
          <cell r="BQ164" t="str">
            <v>1.Скатная</v>
          </cell>
          <cell r="BR164">
            <v>881</v>
          </cell>
          <cell r="BS164">
            <v>677.9</v>
          </cell>
          <cell r="BT164">
            <v>677.89990234375</v>
          </cell>
          <cell r="BU164">
            <v>677.89990234375</v>
          </cell>
          <cell r="BV164">
            <v>0</v>
          </cell>
          <cell r="BW164" t="str">
            <v>3.Частный жилищный фонд</v>
          </cell>
          <cell r="BX164">
            <v>35</v>
          </cell>
          <cell r="BY164">
            <v>0</v>
          </cell>
          <cell r="BZ164" t="str">
            <v>2-я</v>
          </cell>
          <cell r="CA164">
            <v>1</v>
          </cell>
          <cell r="CB164">
            <v>27.01</v>
          </cell>
          <cell r="CC164">
            <v>1</v>
          </cell>
          <cell r="CD164">
            <v>1</v>
          </cell>
          <cell r="CE164">
            <v>1467.6</v>
          </cell>
          <cell r="CF164" t="str">
            <v>ООО "Гранд"</v>
          </cell>
          <cell r="CG164">
            <v>35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35</v>
          </cell>
          <cell r="CN164">
            <v>120.5</v>
          </cell>
          <cell r="CO164">
            <v>0</v>
          </cell>
          <cell r="CP164">
            <v>798.4</v>
          </cell>
          <cell r="CQ164">
            <v>798.39990234375</v>
          </cell>
          <cell r="CR164">
            <v>798.39990234375</v>
          </cell>
          <cell r="CS164">
            <v>1</v>
          </cell>
          <cell r="CT164">
            <v>35</v>
          </cell>
          <cell r="CU164">
            <v>0</v>
          </cell>
          <cell r="CV164">
            <v>21</v>
          </cell>
          <cell r="CW164">
            <v>0</v>
          </cell>
          <cell r="CX164">
            <v>1</v>
          </cell>
          <cell r="CY164">
            <v>1</v>
          </cell>
          <cell r="CZ164">
            <v>5694</v>
          </cell>
          <cell r="DA164" t="str">
            <v>Демский</v>
          </cell>
          <cell r="DB164" t="str">
            <v>3.Сборные ж/б панели</v>
          </cell>
          <cell r="DC164">
            <v>5694</v>
          </cell>
          <cell r="DD164">
            <v>5694</v>
          </cell>
          <cell r="DE164">
            <v>5694</v>
          </cell>
          <cell r="DF164">
            <v>5694</v>
          </cell>
          <cell r="DG164">
            <v>5694</v>
          </cell>
          <cell r="DH164">
            <v>5694</v>
          </cell>
          <cell r="DI164">
            <v>5694</v>
          </cell>
          <cell r="DJ164">
            <v>5694</v>
          </cell>
          <cell r="DK164">
            <v>0</v>
          </cell>
          <cell r="DL164">
            <v>0</v>
          </cell>
          <cell r="DM164">
            <v>2993247</v>
          </cell>
          <cell r="DN164">
            <v>0</v>
          </cell>
          <cell r="DO164">
            <v>0</v>
          </cell>
          <cell r="DP164" t="str">
            <v>УЖХ</v>
          </cell>
          <cell r="DQ164">
            <v>35566</v>
          </cell>
          <cell r="DR164">
            <v>0</v>
          </cell>
          <cell r="DS164">
            <v>35</v>
          </cell>
          <cell r="DT164">
            <v>0</v>
          </cell>
          <cell r="DU164">
            <v>0</v>
          </cell>
          <cell r="DV164">
            <v>0</v>
          </cell>
          <cell r="DW164">
            <v>0</v>
          </cell>
          <cell r="DX164">
            <v>0</v>
          </cell>
          <cell r="DY164">
            <v>0</v>
          </cell>
          <cell r="DZ164">
            <v>0</v>
          </cell>
          <cell r="EA164">
            <v>0</v>
          </cell>
          <cell r="EB164">
            <v>0</v>
          </cell>
          <cell r="EC164">
            <v>0</v>
          </cell>
          <cell r="ED164" t="str">
            <v>3.Зависимая схема</v>
          </cell>
          <cell r="EE164" t="str">
            <v>Верхний</v>
          </cell>
          <cell r="EF164">
            <v>0</v>
          </cell>
          <cell r="EG164">
            <v>678</v>
          </cell>
          <cell r="EH164">
            <v>556</v>
          </cell>
          <cell r="EI164">
            <v>4830.2</v>
          </cell>
          <cell r="EJ164">
            <v>600</v>
          </cell>
          <cell r="EK164">
            <v>424.6</v>
          </cell>
          <cell r="EL164">
            <v>424.599853515625</v>
          </cell>
          <cell r="EM164">
            <v>91.26</v>
          </cell>
          <cell r="EN164">
            <v>0</v>
          </cell>
          <cell r="EO164">
            <v>0</v>
          </cell>
          <cell r="EP164">
            <v>0</v>
          </cell>
          <cell r="EQ164">
            <v>0</v>
          </cell>
          <cell r="ER164">
            <v>0</v>
          </cell>
          <cell r="ES164">
            <v>0</v>
          </cell>
          <cell r="ET164">
            <v>0</v>
          </cell>
          <cell r="EU164">
            <v>0</v>
          </cell>
          <cell r="EV164">
            <v>0</v>
          </cell>
          <cell r="EW164">
            <v>0</v>
          </cell>
          <cell r="EX164">
            <v>0</v>
          </cell>
          <cell r="EY164">
            <v>0</v>
          </cell>
          <cell r="EZ164">
            <v>0</v>
          </cell>
          <cell r="FA164">
            <v>50</v>
          </cell>
          <cell r="FB164">
            <v>1</v>
          </cell>
          <cell r="FC164">
            <v>1</v>
          </cell>
          <cell r="FD164">
            <v>0</v>
          </cell>
          <cell r="FE164">
            <v>0</v>
          </cell>
          <cell r="FF164">
            <v>18.149999999999999</v>
          </cell>
          <cell r="FG164">
            <v>18.149993896484375</v>
          </cell>
          <cell r="FH164" t="str">
            <v>С УЛК (ЖЭУ)</v>
          </cell>
          <cell r="FI164">
            <v>42928</v>
          </cell>
          <cell r="FJ164">
            <v>15477</v>
          </cell>
          <cell r="FK164">
            <v>15477</v>
          </cell>
          <cell r="FL164">
            <v>2306.3000000000002</v>
          </cell>
          <cell r="FM164">
            <v>78.92</v>
          </cell>
          <cell r="FN164">
            <v>3707.55</v>
          </cell>
          <cell r="FO164">
            <v>11122.650000000001</v>
          </cell>
        </row>
        <row r="165">
          <cell r="AI165" t="str">
            <v>Ул. Правды дом 6/а</v>
          </cell>
          <cell r="AJ165">
            <v>11122.6484375</v>
          </cell>
          <cell r="AK165">
            <v>1533.1</v>
          </cell>
          <cell r="AL165">
            <v>1008.1</v>
          </cell>
          <cell r="AM165">
            <v>3</v>
          </cell>
          <cell r="AN165">
            <v>3</v>
          </cell>
          <cell r="AO165" t="str">
            <v>АО УЖХ Демского района</v>
          </cell>
          <cell r="AP165">
            <v>1443.2</v>
          </cell>
          <cell r="AQ165">
            <v>89.2</v>
          </cell>
          <cell r="AR165">
            <v>128.4</v>
          </cell>
          <cell r="AS165">
            <v>6.6</v>
          </cell>
          <cell r="AT165">
            <v>36</v>
          </cell>
          <cell r="AU165">
            <v>3</v>
          </cell>
          <cell r="AV165">
            <v>73</v>
          </cell>
          <cell r="AW165">
            <v>0</v>
          </cell>
          <cell r="AX165">
            <v>0</v>
          </cell>
          <cell r="AY165">
            <v>0</v>
          </cell>
          <cell r="AZ165">
            <v>1042.3499999999999</v>
          </cell>
          <cell r="BA165">
            <v>920.3</v>
          </cell>
          <cell r="BB165">
            <v>920.2998046875</v>
          </cell>
          <cell r="BC165" t="str">
            <v>Управляющая компания</v>
          </cell>
          <cell r="BD165" t="str">
            <v>1. Жилой дом</v>
          </cell>
          <cell r="BE165">
            <v>51</v>
          </cell>
          <cell r="BF165" t="str">
            <v>2.Чёрный</v>
          </cell>
          <cell r="BG165">
            <v>51</v>
          </cell>
          <cell r="BH165" t="str">
            <v>3.Водяной</v>
          </cell>
          <cell r="BI165" t="str">
            <v>МУП УИС</v>
          </cell>
          <cell r="BJ165" t="str">
            <v>1. Чугун</v>
          </cell>
          <cell r="BK165">
            <v>51</v>
          </cell>
          <cell r="BL165" t="str">
            <v>8.Сборные ж/б</v>
          </cell>
          <cell r="BM165">
            <v>21916</v>
          </cell>
          <cell r="BN165">
            <v>36</v>
          </cell>
          <cell r="BO165" t="str">
            <v>Оборудован</v>
          </cell>
          <cell r="BP165" t="str">
            <v>8.Профнастил</v>
          </cell>
          <cell r="BQ165" t="str">
            <v>1.Скатная</v>
          </cell>
          <cell r="BR165">
            <v>698.5</v>
          </cell>
          <cell r="BS165">
            <v>542.6</v>
          </cell>
          <cell r="BT165">
            <v>542.599609375</v>
          </cell>
          <cell r="BU165">
            <v>542.599609375</v>
          </cell>
          <cell r="BV165">
            <v>0</v>
          </cell>
          <cell r="BW165" t="str">
            <v>3.Частный жилищный фонд</v>
          </cell>
          <cell r="BX165">
            <v>36</v>
          </cell>
          <cell r="BY165">
            <v>0</v>
          </cell>
          <cell r="BZ165" t="str">
            <v>2-я</v>
          </cell>
          <cell r="CA165">
            <v>1</v>
          </cell>
          <cell r="CB165">
            <v>27.01</v>
          </cell>
          <cell r="CC165">
            <v>1</v>
          </cell>
          <cell r="CD165">
            <v>1</v>
          </cell>
          <cell r="CE165">
            <v>1532.4</v>
          </cell>
          <cell r="CF165" t="str">
            <v>ООО "Гранд"</v>
          </cell>
          <cell r="CG165">
            <v>34</v>
          </cell>
          <cell r="CH165">
            <v>2</v>
          </cell>
          <cell r="CI165">
            <v>2</v>
          </cell>
          <cell r="CJ165">
            <v>2</v>
          </cell>
          <cell r="CK165">
            <v>0</v>
          </cell>
          <cell r="CL165">
            <v>0</v>
          </cell>
          <cell r="CM165">
            <v>36</v>
          </cell>
          <cell r="CN165">
            <v>135</v>
          </cell>
          <cell r="CO165">
            <v>0</v>
          </cell>
          <cell r="CP165">
            <v>677.6</v>
          </cell>
          <cell r="CQ165">
            <v>677.599609375</v>
          </cell>
          <cell r="CR165">
            <v>677.599609375</v>
          </cell>
          <cell r="CS165">
            <v>1</v>
          </cell>
          <cell r="CT165">
            <v>36</v>
          </cell>
          <cell r="CU165">
            <v>0</v>
          </cell>
          <cell r="CV165">
            <v>27</v>
          </cell>
          <cell r="CW165">
            <v>0</v>
          </cell>
          <cell r="CX165">
            <v>1</v>
          </cell>
          <cell r="CY165">
            <v>1</v>
          </cell>
          <cell r="CZ165">
            <v>7050</v>
          </cell>
          <cell r="DA165" t="str">
            <v>Демский</v>
          </cell>
          <cell r="DB165" t="str">
            <v>3.Сборные ж/б панели</v>
          </cell>
          <cell r="DC165">
            <v>7050</v>
          </cell>
          <cell r="DD165">
            <v>7050</v>
          </cell>
          <cell r="DE165">
            <v>7050</v>
          </cell>
          <cell r="DF165">
            <v>7050</v>
          </cell>
          <cell r="DG165">
            <v>7050</v>
          </cell>
          <cell r="DH165">
            <v>7050</v>
          </cell>
          <cell r="DI165">
            <v>7050</v>
          </cell>
          <cell r="DJ165">
            <v>7050</v>
          </cell>
          <cell r="DK165">
            <v>0</v>
          </cell>
          <cell r="DL165">
            <v>0</v>
          </cell>
          <cell r="DM165">
            <v>2718867</v>
          </cell>
          <cell r="DN165">
            <v>3</v>
          </cell>
          <cell r="DO165">
            <v>3</v>
          </cell>
          <cell r="DP165" t="str">
            <v>УЖХ</v>
          </cell>
          <cell r="DQ165">
            <v>35629</v>
          </cell>
          <cell r="DR165">
            <v>0</v>
          </cell>
          <cell r="DS165">
            <v>36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0</v>
          </cell>
          <cell r="EA165">
            <v>0</v>
          </cell>
          <cell r="EB165">
            <v>0</v>
          </cell>
          <cell r="EC165">
            <v>0</v>
          </cell>
          <cell r="ED165" t="str">
            <v>3.Зависимая схема</v>
          </cell>
          <cell r="EE165" t="str">
            <v>Верхний</v>
          </cell>
          <cell r="EF165">
            <v>0</v>
          </cell>
          <cell r="EG165">
            <v>0</v>
          </cell>
          <cell r="EH165">
            <v>0</v>
          </cell>
          <cell r="EI165">
            <v>920.3</v>
          </cell>
          <cell r="EJ165">
            <v>920.2998046875</v>
          </cell>
          <cell r="EK165">
            <v>796.7</v>
          </cell>
          <cell r="EL165">
            <v>796.69970703125</v>
          </cell>
          <cell r="EM165">
            <v>69.45</v>
          </cell>
          <cell r="EN165">
            <v>0</v>
          </cell>
          <cell r="EO165">
            <v>0</v>
          </cell>
          <cell r="EP165">
            <v>0</v>
          </cell>
          <cell r="EQ165">
            <v>0</v>
          </cell>
          <cell r="ER165">
            <v>0</v>
          </cell>
          <cell r="ES165">
            <v>176.2</v>
          </cell>
          <cell r="ET165">
            <v>1</v>
          </cell>
          <cell r="EU165">
            <v>1</v>
          </cell>
          <cell r="EV165">
            <v>0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  <cell r="FA165">
            <v>0</v>
          </cell>
          <cell r="FB165">
            <v>0</v>
          </cell>
          <cell r="FC165">
            <v>0</v>
          </cell>
          <cell r="FD165">
            <v>0</v>
          </cell>
          <cell r="FE165">
            <v>0</v>
          </cell>
          <cell r="FF165">
            <v>11.94</v>
          </cell>
          <cell r="FG165">
            <v>11.939994812011719</v>
          </cell>
          <cell r="FH165" t="str">
            <v>С УЛК (ЖЭУ)</v>
          </cell>
          <cell r="FI165">
            <v>44013</v>
          </cell>
          <cell r="FJ165">
            <v>15477</v>
          </cell>
          <cell r="FK165">
            <v>15477</v>
          </cell>
          <cell r="FL165">
            <v>2210.6999999999998</v>
          </cell>
          <cell r="FM165">
            <v>78.92</v>
          </cell>
          <cell r="FN165">
            <v>3813.48</v>
          </cell>
          <cell r="FO165">
            <v>11440.44</v>
          </cell>
        </row>
        <row r="166">
          <cell r="AI166" t="str">
            <v>Ул. Правды дом 8</v>
          </cell>
          <cell r="AJ166">
            <v>11440.4375</v>
          </cell>
          <cell r="AK166">
            <v>1458.8</v>
          </cell>
          <cell r="AL166">
            <v>960.3</v>
          </cell>
          <cell r="AM166">
            <v>3</v>
          </cell>
          <cell r="AN166">
            <v>3</v>
          </cell>
          <cell r="AO166" t="str">
            <v>АО УЖХ Демского района</v>
          </cell>
          <cell r="AP166">
            <v>1322.2</v>
          </cell>
          <cell r="AQ166">
            <v>134.4</v>
          </cell>
          <cell r="AR166">
            <v>109.2</v>
          </cell>
          <cell r="AS166">
            <v>0</v>
          </cell>
          <cell r="AT166">
            <v>34</v>
          </cell>
          <cell r="AU166">
            <v>3</v>
          </cell>
          <cell r="AV166">
            <v>94</v>
          </cell>
          <cell r="AW166">
            <v>0</v>
          </cell>
          <cell r="AX166">
            <v>0</v>
          </cell>
          <cell r="AY166">
            <v>69.5</v>
          </cell>
          <cell r="AZ166">
            <v>810.9</v>
          </cell>
          <cell r="BA166">
            <v>1006</v>
          </cell>
          <cell r="BB166">
            <v>1006</v>
          </cell>
          <cell r="BC166" t="str">
            <v>Управляющая компания</v>
          </cell>
          <cell r="BD166" t="str">
            <v>1. Жилой дом</v>
          </cell>
          <cell r="BE166">
            <v>51</v>
          </cell>
          <cell r="BF166" t="str">
            <v>1.Оцинкованный</v>
          </cell>
          <cell r="BG166">
            <v>51</v>
          </cell>
          <cell r="BH166" t="str">
            <v>3.Водяной</v>
          </cell>
          <cell r="BI166" t="str">
            <v>МУП УИС</v>
          </cell>
          <cell r="BJ166" t="str">
            <v>1. Чугун</v>
          </cell>
          <cell r="BK166">
            <v>51</v>
          </cell>
          <cell r="BL166" t="str">
            <v>8.Сборные ж/б</v>
          </cell>
          <cell r="BM166">
            <v>21916</v>
          </cell>
          <cell r="BN166">
            <v>34</v>
          </cell>
          <cell r="BO166" t="str">
            <v>Оборудован</v>
          </cell>
          <cell r="BP166" t="str">
            <v>8.Профнастил</v>
          </cell>
          <cell r="BQ166" t="str">
            <v>1.Скатная</v>
          </cell>
          <cell r="BR166">
            <v>826</v>
          </cell>
          <cell r="BS166">
            <v>570</v>
          </cell>
          <cell r="BT166">
            <v>570</v>
          </cell>
          <cell r="BU166">
            <v>570</v>
          </cell>
          <cell r="BV166">
            <v>0</v>
          </cell>
          <cell r="BW166" t="str">
            <v>3.Частный жилищный фонд</v>
          </cell>
          <cell r="BX166">
            <v>34</v>
          </cell>
          <cell r="BY166">
            <v>0</v>
          </cell>
          <cell r="BZ166" t="str">
            <v>2-я</v>
          </cell>
          <cell r="CA166">
            <v>1</v>
          </cell>
          <cell r="CB166">
            <v>27.01</v>
          </cell>
          <cell r="CC166">
            <v>1</v>
          </cell>
          <cell r="CD166">
            <v>1</v>
          </cell>
          <cell r="CE166">
            <v>1488.8</v>
          </cell>
          <cell r="CF166" t="str">
            <v>ООО "Гранд"</v>
          </cell>
          <cell r="CG166">
            <v>31</v>
          </cell>
          <cell r="CH166">
            <v>3</v>
          </cell>
          <cell r="CI166">
            <v>3</v>
          </cell>
          <cell r="CJ166">
            <v>3</v>
          </cell>
          <cell r="CK166">
            <v>0</v>
          </cell>
          <cell r="CL166">
            <v>0</v>
          </cell>
          <cell r="CM166">
            <v>34</v>
          </cell>
          <cell r="CN166">
            <v>109.2</v>
          </cell>
          <cell r="CO166">
            <v>0</v>
          </cell>
          <cell r="CP166">
            <v>679.2</v>
          </cell>
          <cell r="CQ166">
            <v>679.19970703125</v>
          </cell>
          <cell r="CR166">
            <v>679.19970703125</v>
          </cell>
          <cell r="CS166">
            <v>1</v>
          </cell>
          <cell r="CT166">
            <v>34</v>
          </cell>
          <cell r="CU166">
            <v>0</v>
          </cell>
          <cell r="CV166">
            <v>29</v>
          </cell>
          <cell r="CW166">
            <v>0</v>
          </cell>
          <cell r="CX166">
            <v>1</v>
          </cell>
          <cell r="CY166">
            <v>1</v>
          </cell>
          <cell r="CZ166">
            <v>5322</v>
          </cell>
          <cell r="DA166" t="str">
            <v>Демский</v>
          </cell>
          <cell r="DB166" t="str">
            <v>3.Сборные ж/б панели</v>
          </cell>
          <cell r="DC166">
            <v>5322</v>
          </cell>
          <cell r="DD166">
            <v>5322</v>
          </cell>
          <cell r="DE166">
            <v>5322</v>
          </cell>
          <cell r="DF166">
            <v>5322</v>
          </cell>
          <cell r="DG166">
            <v>5322</v>
          </cell>
          <cell r="DH166">
            <v>5322</v>
          </cell>
          <cell r="DI166">
            <v>5322</v>
          </cell>
          <cell r="DJ166">
            <v>5322</v>
          </cell>
          <cell r="DK166">
            <v>0</v>
          </cell>
          <cell r="DL166">
            <v>0</v>
          </cell>
          <cell r="DM166">
            <v>2054383</v>
          </cell>
          <cell r="DN166">
            <v>2</v>
          </cell>
          <cell r="DO166">
            <v>2</v>
          </cell>
          <cell r="DP166" t="str">
            <v>УЖХ</v>
          </cell>
          <cell r="DQ166">
            <v>35723</v>
          </cell>
          <cell r="DR166">
            <v>0</v>
          </cell>
          <cell r="DS166">
            <v>34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 t="str">
            <v>3.Зависимая схема</v>
          </cell>
          <cell r="EE166" t="str">
            <v>Верхний</v>
          </cell>
          <cell r="EF166">
            <v>0</v>
          </cell>
          <cell r="EG166">
            <v>0</v>
          </cell>
          <cell r="EH166">
            <v>0</v>
          </cell>
          <cell r="EI166">
            <v>1006</v>
          </cell>
          <cell r="EJ166">
            <v>422.1</v>
          </cell>
          <cell r="EK166">
            <v>169.8</v>
          </cell>
          <cell r="EL166">
            <v>120</v>
          </cell>
          <cell r="EM166">
            <v>99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T166">
            <v>0</v>
          </cell>
          <cell r="EU166">
            <v>0</v>
          </cell>
          <cell r="EV166">
            <v>0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15.51</v>
          </cell>
          <cell r="FG166">
            <v>15.509994506835938</v>
          </cell>
          <cell r="FH166" t="str">
            <v>С УЛК (ЖЭУ)</v>
          </cell>
          <cell r="FI166">
            <v>42928</v>
          </cell>
          <cell r="FJ166">
            <v>15477</v>
          </cell>
          <cell r="FK166">
            <v>15477</v>
          </cell>
          <cell r="FL166">
            <v>2207.5</v>
          </cell>
          <cell r="FM166">
            <v>78.92</v>
          </cell>
          <cell r="FN166">
            <v>3601.6200000000003</v>
          </cell>
          <cell r="FO166">
            <v>10804.86</v>
          </cell>
        </row>
        <row r="167">
          <cell r="AI167" t="str">
            <v>Ул. Правды дом 8/1</v>
          </cell>
          <cell r="AJ167">
            <v>10804.859375</v>
          </cell>
          <cell r="AK167">
            <v>2055.5</v>
          </cell>
          <cell r="AL167">
            <v>1335.1</v>
          </cell>
          <cell r="AM167">
            <v>3</v>
          </cell>
          <cell r="AN167">
            <v>3</v>
          </cell>
          <cell r="AO167" t="str">
            <v>АО УЖХ Демского района</v>
          </cell>
          <cell r="AP167">
            <v>1806.8</v>
          </cell>
          <cell r="AQ167">
            <v>241.2</v>
          </cell>
          <cell r="AR167">
            <v>146.69999999999999</v>
          </cell>
          <cell r="AS167">
            <v>6.6</v>
          </cell>
          <cell r="AT167">
            <v>48</v>
          </cell>
          <cell r="AU167">
            <v>4</v>
          </cell>
          <cell r="AV167">
            <v>118</v>
          </cell>
          <cell r="AW167">
            <v>0</v>
          </cell>
          <cell r="AX167">
            <v>0</v>
          </cell>
          <cell r="AY167">
            <v>0</v>
          </cell>
          <cell r="AZ167">
            <v>529.70000000000005</v>
          </cell>
          <cell r="BA167">
            <v>1688.4</v>
          </cell>
          <cell r="BB167">
            <v>1688.3994140625</v>
          </cell>
          <cell r="BC167" t="str">
            <v>Управляющая компания</v>
          </cell>
          <cell r="BD167" t="str">
            <v>1. Жилой дом</v>
          </cell>
          <cell r="BE167">
            <v>49.4</v>
          </cell>
          <cell r="BF167" t="str">
            <v>2.Чёрный</v>
          </cell>
          <cell r="BG167">
            <v>49.399993896484375</v>
          </cell>
          <cell r="BH167" t="str">
            <v>3.Водяной</v>
          </cell>
          <cell r="BI167" t="str">
            <v>МУП УИС</v>
          </cell>
          <cell r="BJ167" t="str">
            <v>1. Чугун</v>
          </cell>
          <cell r="BK167">
            <v>49.399993896484375</v>
          </cell>
          <cell r="BL167" t="str">
            <v>8.Сборные ж/б</v>
          </cell>
          <cell r="BM167">
            <v>22647</v>
          </cell>
          <cell r="BN167">
            <v>48</v>
          </cell>
          <cell r="BO167" t="str">
            <v>Оборудован</v>
          </cell>
          <cell r="BP167" t="str">
            <v>1.Абсоцемент(шифер)</v>
          </cell>
          <cell r="BQ167" t="str">
            <v>1.Скатная</v>
          </cell>
          <cell r="BR167">
            <v>826</v>
          </cell>
          <cell r="BS167">
            <v>641.70000000000005</v>
          </cell>
          <cell r="BT167">
            <v>641.69970703125</v>
          </cell>
          <cell r="BU167">
            <v>641.69970703125</v>
          </cell>
          <cell r="BV167">
            <v>0</v>
          </cell>
          <cell r="BW167" t="str">
            <v>3.Частный жилищный фонд</v>
          </cell>
          <cell r="BX167">
            <v>48</v>
          </cell>
          <cell r="BY167">
            <v>0</v>
          </cell>
          <cell r="BZ167" t="str">
            <v>2-я</v>
          </cell>
          <cell r="CA167">
            <v>1</v>
          </cell>
          <cell r="CB167">
            <v>27.01</v>
          </cell>
          <cell r="CC167">
            <v>1</v>
          </cell>
          <cell r="CD167">
            <v>1</v>
          </cell>
          <cell r="CE167">
            <v>2048</v>
          </cell>
          <cell r="CF167" t="str">
            <v>ООО "Гранд"</v>
          </cell>
          <cell r="CG167">
            <v>43</v>
          </cell>
          <cell r="CH167">
            <v>5</v>
          </cell>
          <cell r="CI167">
            <v>5</v>
          </cell>
          <cell r="CJ167">
            <v>5</v>
          </cell>
          <cell r="CK167">
            <v>0</v>
          </cell>
          <cell r="CL167">
            <v>0</v>
          </cell>
          <cell r="CM167">
            <v>48</v>
          </cell>
          <cell r="CN167">
            <v>153.30000000000001</v>
          </cell>
          <cell r="CO167">
            <v>0</v>
          </cell>
          <cell r="CP167">
            <v>795</v>
          </cell>
          <cell r="CQ167">
            <v>795</v>
          </cell>
          <cell r="CR167">
            <v>795</v>
          </cell>
          <cell r="CS167">
            <v>1</v>
          </cell>
          <cell r="CT167">
            <v>48</v>
          </cell>
          <cell r="CU167">
            <v>0</v>
          </cell>
          <cell r="CV167">
            <v>37</v>
          </cell>
          <cell r="CW167">
            <v>0</v>
          </cell>
          <cell r="CX167">
            <v>1</v>
          </cell>
          <cell r="CY167">
            <v>1</v>
          </cell>
          <cell r="CZ167">
            <v>7111</v>
          </cell>
          <cell r="DA167" t="str">
            <v>Демский</v>
          </cell>
          <cell r="DB167" t="str">
            <v>3.Сборные ж/б панели</v>
          </cell>
          <cell r="DC167">
            <v>7111</v>
          </cell>
          <cell r="DD167">
            <v>7111</v>
          </cell>
          <cell r="DE167">
            <v>7111</v>
          </cell>
          <cell r="DF167">
            <v>7111</v>
          </cell>
          <cell r="DG167">
            <v>7111</v>
          </cell>
          <cell r="DH167">
            <v>7111</v>
          </cell>
          <cell r="DI167">
            <v>7111</v>
          </cell>
          <cell r="DJ167">
            <v>7111</v>
          </cell>
          <cell r="DK167">
            <v>0</v>
          </cell>
          <cell r="DL167">
            <v>0</v>
          </cell>
          <cell r="DM167">
            <v>3116638</v>
          </cell>
          <cell r="DN167">
            <v>0</v>
          </cell>
          <cell r="DO167">
            <v>0</v>
          </cell>
          <cell r="DP167" t="str">
            <v>УЖХ</v>
          </cell>
          <cell r="DQ167">
            <v>35723</v>
          </cell>
          <cell r="DR167">
            <v>0</v>
          </cell>
          <cell r="DS167">
            <v>48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 t="str">
            <v>3.Зависимая схема</v>
          </cell>
          <cell r="EE167" t="str">
            <v>Верхний</v>
          </cell>
          <cell r="EF167">
            <v>0</v>
          </cell>
          <cell r="EG167">
            <v>0</v>
          </cell>
          <cell r="EH167">
            <v>0</v>
          </cell>
          <cell r="EI167">
            <v>1688.4</v>
          </cell>
          <cell r="EJ167">
            <v>38.700000000000003</v>
          </cell>
          <cell r="EK167">
            <v>336</v>
          </cell>
          <cell r="EL167">
            <v>336</v>
          </cell>
          <cell r="EM167">
            <v>106.1</v>
          </cell>
          <cell r="EN167">
            <v>0</v>
          </cell>
          <cell r="EO167">
            <v>0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T167">
            <v>0</v>
          </cell>
          <cell r="EU167">
            <v>0</v>
          </cell>
          <cell r="EV167">
            <v>0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  <cell r="FA167">
            <v>48.9</v>
          </cell>
          <cell r="FB167">
            <v>1</v>
          </cell>
          <cell r="FC167">
            <v>1</v>
          </cell>
          <cell r="FD167">
            <v>0</v>
          </cell>
          <cell r="FE167">
            <v>0</v>
          </cell>
          <cell r="FF167">
            <v>14.46</v>
          </cell>
          <cell r="FG167">
            <v>14.459999084472656</v>
          </cell>
          <cell r="FH167" t="str">
            <v>С УЛК (ЖЭУ)</v>
          </cell>
          <cell r="FI167">
            <v>44013</v>
          </cell>
          <cell r="FJ167">
            <v>15477</v>
          </cell>
          <cell r="FK167">
            <v>15477</v>
          </cell>
          <cell r="FL167">
            <v>2850.5</v>
          </cell>
          <cell r="FM167">
            <v>78.92</v>
          </cell>
          <cell r="FN167">
            <v>5084.6399999999994</v>
          </cell>
          <cell r="FO167">
            <v>15253.919999999998</v>
          </cell>
        </row>
        <row r="168">
          <cell r="AI168" t="str">
            <v>Ул. Правды дом 12</v>
          </cell>
          <cell r="AJ168">
            <v>15253.9140625</v>
          </cell>
          <cell r="AK168">
            <v>1186.3</v>
          </cell>
          <cell r="AL168">
            <v>809.4</v>
          </cell>
          <cell r="AM168">
            <v>3</v>
          </cell>
          <cell r="AN168">
            <v>3</v>
          </cell>
          <cell r="AO168" t="str">
            <v>АО УЖХ Демского района</v>
          </cell>
          <cell r="AP168">
            <v>1061</v>
          </cell>
          <cell r="AQ168">
            <v>118.1</v>
          </cell>
          <cell r="AR168">
            <v>108.5</v>
          </cell>
          <cell r="AS168">
            <v>6.1</v>
          </cell>
          <cell r="AT168">
            <v>27</v>
          </cell>
          <cell r="AU168">
            <v>3</v>
          </cell>
          <cell r="AV168">
            <v>73</v>
          </cell>
          <cell r="AW168">
            <v>0</v>
          </cell>
          <cell r="AX168">
            <v>0</v>
          </cell>
          <cell r="AY168">
            <v>328.9</v>
          </cell>
          <cell r="AZ168">
            <v>1191.5</v>
          </cell>
          <cell r="BA168">
            <v>908.1</v>
          </cell>
          <cell r="BB168">
            <v>908.099609375</v>
          </cell>
          <cell r="BC168" t="str">
            <v>Непосредственное</v>
          </cell>
          <cell r="BD168" t="str">
            <v>1. Жилой дом</v>
          </cell>
          <cell r="BE168">
            <v>51</v>
          </cell>
          <cell r="BF168" t="str">
            <v>2.Чёрный</v>
          </cell>
          <cell r="BG168">
            <v>51</v>
          </cell>
          <cell r="BH168" t="str">
            <v>3.Водяной</v>
          </cell>
          <cell r="BI168" t="str">
            <v>МУП УИС</v>
          </cell>
          <cell r="BJ168" t="str">
            <v>1. Чугун</v>
          </cell>
          <cell r="BK168">
            <v>51</v>
          </cell>
          <cell r="BL168" t="str">
            <v>8.Сборные ж/б</v>
          </cell>
          <cell r="BM168">
            <v>21916</v>
          </cell>
          <cell r="BN168">
            <v>27</v>
          </cell>
          <cell r="BO168" t="str">
            <v>Оборудован</v>
          </cell>
          <cell r="BP168" t="str">
            <v>1.Абсоцемент(шифер)</v>
          </cell>
          <cell r="BQ168" t="str">
            <v>1.Скатная</v>
          </cell>
          <cell r="BR168">
            <v>836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 t="str">
            <v>3.Частный жилищный фонд</v>
          </cell>
          <cell r="BX168">
            <v>27</v>
          </cell>
          <cell r="BY168">
            <v>0</v>
          </cell>
          <cell r="BZ168" t="str">
            <v>2-я</v>
          </cell>
          <cell r="CA168">
            <v>1</v>
          </cell>
          <cell r="CB168">
            <v>27.01</v>
          </cell>
          <cell r="CC168">
            <v>1</v>
          </cell>
          <cell r="CD168">
            <v>1</v>
          </cell>
          <cell r="CE168">
            <v>100.9</v>
          </cell>
          <cell r="CF168" t="str">
            <v>ООО "Гранд"</v>
          </cell>
          <cell r="CG168">
            <v>25</v>
          </cell>
          <cell r="CH168">
            <v>2</v>
          </cell>
          <cell r="CI168">
            <v>2</v>
          </cell>
          <cell r="CJ168">
            <v>2</v>
          </cell>
          <cell r="CK168">
            <v>0</v>
          </cell>
          <cell r="CL168">
            <v>0</v>
          </cell>
          <cell r="CM168">
            <v>27</v>
          </cell>
          <cell r="CN168">
            <v>114.6</v>
          </cell>
          <cell r="CO168">
            <v>0</v>
          </cell>
          <cell r="CP168">
            <v>114.6</v>
          </cell>
          <cell r="CQ168">
            <v>114.5999755859375</v>
          </cell>
          <cell r="CR168">
            <v>114.5999755859375</v>
          </cell>
          <cell r="CS168">
            <v>0</v>
          </cell>
          <cell r="CT168">
            <v>27</v>
          </cell>
          <cell r="CU168">
            <v>0</v>
          </cell>
          <cell r="CV168">
            <v>1</v>
          </cell>
          <cell r="CW168">
            <v>0</v>
          </cell>
          <cell r="CX168">
            <v>1</v>
          </cell>
          <cell r="CY168">
            <v>1</v>
          </cell>
          <cell r="CZ168">
            <v>5463</v>
          </cell>
          <cell r="DA168" t="str">
            <v>Демский</v>
          </cell>
          <cell r="DB168" t="str">
            <v>3.Сборные ж/б панели</v>
          </cell>
          <cell r="DC168">
            <v>5463</v>
          </cell>
          <cell r="DD168">
            <v>5463</v>
          </cell>
          <cell r="DE168">
            <v>5463</v>
          </cell>
          <cell r="DF168">
            <v>5463</v>
          </cell>
          <cell r="DG168">
            <v>5463</v>
          </cell>
          <cell r="DH168">
            <v>5463</v>
          </cell>
          <cell r="DI168">
            <v>5463</v>
          </cell>
          <cell r="DJ168">
            <v>5463</v>
          </cell>
          <cell r="DK168">
            <v>0</v>
          </cell>
          <cell r="DL168">
            <v>0</v>
          </cell>
          <cell r="DM168">
            <v>2108023</v>
          </cell>
          <cell r="DN168">
            <v>2</v>
          </cell>
          <cell r="DO168">
            <v>2</v>
          </cell>
          <cell r="DP168" t="str">
            <v>УЖХ</v>
          </cell>
          <cell r="DQ168">
            <v>35723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 t="str">
            <v>3.Зависимая схема</v>
          </cell>
          <cell r="EE168" t="str">
            <v>Верхний</v>
          </cell>
          <cell r="EF168">
            <v>0</v>
          </cell>
          <cell r="EG168">
            <v>0</v>
          </cell>
          <cell r="EH168">
            <v>0</v>
          </cell>
          <cell r="EI168">
            <v>908.1</v>
          </cell>
          <cell r="EJ168">
            <v>416.4</v>
          </cell>
          <cell r="EK168">
            <v>490.4</v>
          </cell>
          <cell r="EL168">
            <v>117</v>
          </cell>
          <cell r="EM168">
            <v>103.7</v>
          </cell>
          <cell r="EN168">
            <v>3</v>
          </cell>
          <cell r="EO168">
            <v>3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0</v>
          </cell>
          <cell r="EV168">
            <v>0</v>
          </cell>
          <cell r="EW168">
            <v>10</v>
          </cell>
          <cell r="EX168">
            <v>1</v>
          </cell>
          <cell r="EY168">
            <v>1</v>
          </cell>
          <cell r="EZ168">
            <v>0</v>
          </cell>
          <cell r="FA168">
            <v>54</v>
          </cell>
          <cell r="FB168">
            <v>1</v>
          </cell>
          <cell r="FC168">
            <v>1</v>
          </cell>
          <cell r="FD168">
            <v>0</v>
          </cell>
          <cell r="FE168">
            <v>0</v>
          </cell>
          <cell r="FF168">
            <v>17.38</v>
          </cell>
          <cell r="FG168">
            <v>17.379989624023438</v>
          </cell>
          <cell r="FH168" t="str">
            <v>С УЛК (ЖЭУ)</v>
          </cell>
          <cell r="FI168">
            <v>43647</v>
          </cell>
          <cell r="FJ168">
            <v>15477</v>
          </cell>
          <cell r="FK168">
            <v>15477</v>
          </cell>
          <cell r="FL168">
            <v>1629.8</v>
          </cell>
          <cell r="FM168">
            <v>78.92</v>
          </cell>
          <cell r="FN168">
            <v>2860.11</v>
          </cell>
          <cell r="FO168">
            <v>8580.33</v>
          </cell>
        </row>
        <row r="169">
          <cell r="AI169" t="str">
            <v>Ул. Правды дом 13</v>
          </cell>
          <cell r="AJ169">
            <v>8580.328125</v>
          </cell>
          <cell r="AK169">
            <v>2016.7</v>
          </cell>
          <cell r="AL169">
            <v>1348.9</v>
          </cell>
          <cell r="AM169">
            <v>4</v>
          </cell>
          <cell r="AN169">
            <v>4</v>
          </cell>
          <cell r="AO169" t="str">
            <v>АО УЖХ Демского района</v>
          </cell>
          <cell r="AP169">
            <v>1961.8</v>
          </cell>
          <cell r="AQ169">
            <v>55.8</v>
          </cell>
          <cell r="AR169">
            <v>321.60000000000002</v>
          </cell>
          <cell r="AS169">
            <v>6.3</v>
          </cell>
          <cell r="AT169">
            <v>52</v>
          </cell>
          <cell r="AU169">
            <v>4</v>
          </cell>
          <cell r="AV169">
            <v>103</v>
          </cell>
          <cell r="AW169">
            <v>0</v>
          </cell>
          <cell r="AX169">
            <v>0</v>
          </cell>
          <cell r="AY169">
            <v>474.4</v>
          </cell>
          <cell r="AZ169">
            <v>920.1</v>
          </cell>
          <cell r="BA169">
            <v>1406.1</v>
          </cell>
          <cell r="BB169">
            <v>1406.099609375</v>
          </cell>
          <cell r="BC169" t="str">
            <v>Управляющая компания</v>
          </cell>
          <cell r="BD169" t="str">
            <v>1. Жилой дом</v>
          </cell>
          <cell r="BE169">
            <v>47.8</v>
          </cell>
          <cell r="BF169" t="str">
            <v>2.Чёрный</v>
          </cell>
          <cell r="BG169">
            <v>47.79998779296875</v>
          </cell>
          <cell r="BH169" t="str">
            <v>3.Водяной</v>
          </cell>
          <cell r="BI169" t="str">
            <v>МУП УИС</v>
          </cell>
          <cell r="BJ169" t="str">
            <v>1. Чугун</v>
          </cell>
          <cell r="BK169">
            <v>47.79998779296875</v>
          </cell>
          <cell r="BL169" t="str">
            <v>2.Кирпич</v>
          </cell>
          <cell r="BM169">
            <v>23377</v>
          </cell>
          <cell r="BN169">
            <v>52</v>
          </cell>
          <cell r="BO169" t="str">
            <v>Оборудован</v>
          </cell>
          <cell r="BP169" t="str">
            <v>8.Профнастил</v>
          </cell>
          <cell r="BQ169" t="str">
            <v>1.Скатная</v>
          </cell>
          <cell r="BR169">
            <v>1369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 t="str">
            <v>3.Частный жилищный фонд</v>
          </cell>
          <cell r="BX169">
            <v>52</v>
          </cell>
          <cell r="BY169">
            <v>0</v>
          </cell>
          <cell r="BZ169" t="str">
            <v>2-я</v>
          </cell>
          <cell r="CA169">
            <v>1</v>
          </cell>
          <cell r="CB169">
            <v>27.01</v>
          </cell>
          <cell r="CC169">
            <v>1</v>
          </cell>
          <cell r="CD169">
            <v>1</v>
          </cell>
          <cell r="CE169">
            <v>2259</v>
          </cell>
          <cell r="CF169" t="str">
            <v>ООО "Гранд"</v>
          </cell>
          <cell r="CG169">
            <v>51</v>
          </cell>
          <cell r="CH169">
            <v>1</v>
          </cell>
          <cell r="CI169">
            <v>1</v>
          </cell>
          <cell r="CJ169">
            <v>1</v>
          </cell>
          <cell r="CK169">
            <v>0</v>
          </cell>
          <cell r="CL169">
            <v>1</v>
          </cell>
          <cell r="CM169">
            <v>53</v>
          </cell>
          <cell r="CN169">
            <v>327.9</v>
          </cell>
          <cell r="CO169">
            <v>0</v>
          </cell>
          <cell r="CP169">
            <v>327.9</v>
          </cell>
          <cell r="CQ169">
            <v>327.89990234375</v>
          </cell>
          <cell r="CR169">
            <v>327.89990234375</v>
          </cell>
          <cell r="CS169">
            <v>0</v>
          </cell>
          <cell r="CT169">
            <v>52</v>
          </cell>
          <cell r="CU169">
            <v>0</v>
          </cell>
          <cell r="CV169">
            <v>41</v>
          </cell>
          <cell r="CW169">
            <v>0</v>
          </cell>
          <cell r="CX169">
            <v>1</v>
          </cell>
          <cell r="CY169">
            <v>1</v>
          </cell>
          <cell r="CZ169">
            <v>9639</v>
          </cell>
          <cell r="DA169" t="str">
            <v>Демский</v>
          </cell>
          <cell r="DB169" t="str">
            <v>3.Сборные ж/б панели</v>
          </cell>
          <cell r="DC169">
            <v>9639</v>
          </cell>
          <cell r="DD169">
            <v>9639</v>
          </cell>
          <cell r="DE169">
            <v>9639</v>
          </cell>
          <cell r="DF169">
            <v>9639</v>
          </cell>
          <cell r="DG169">
            <v>9639</v>
          </cell>
          <cell r="DH169">
            <v>9639</v>
          </cell>
          <cell r="DI169">
            <v>9639</v>
          </cell>
          <cell r="DJ169">
            <v>9639</v>
          </cell>
          <cell r="DK169">
            <v>0</v>
          </cell>
          <cell r="DL169">
            <v>0</v>
          </cell>
          <cell r="DM169">
            <v>3775370</v>
          </cell>
          <cell r="DN169">
            <v>4</v>
          </cell>
          <cell r="DO169">
            <v>4</v>
          </cell>
          <cell r="DP169" t="str">
            <v>УЖХ</v>
          </cell>
          <cell r="DQ169">
            <v>35811</v>
          </cell>
          <cell r="DR169">
            <v>0</v>
          </cell>
          <cell r="DS169">
            <v>52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0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 t="str">
            <v>3.Зависимая схема</v>
          </cell>
          <cell r="EE169" t="str">
            <v>Нижний</v>
          </cell>
          <cell r="EF169">
            <v>0</v>
          </cell>
          <cell r="EG169">
            <v>0</v>
          </cell>
          <cell r="EH169">
            <v>1050</v>
          </cell>
          <cell r="EI169">
            <v>206.1</v>
          </cell>
          <cell r="EJ169">
            <v>212.43</v>
          </cell>
          <cell r="EK169">
            <v>520.72</v>
          </cell>
          <cell r="EL169">
            <v>0</v>
          </cell>
          <cell r="EM169">
            <v>121.95</v>
          </cell>
          <cell r="EN169">
            <v>0</v>
          </cell>
          <cell r="EO169">
            <v>0</v>
          </cell>
          <cell r="EP169">
            <v>0</v>
          </cell>
          <cell r="EQ169">
            <v>0</v>
          </cell>
          <cell r="ER169">
            <v>0</v>
          </cell>
          <cell r="ES169">
            <v>0</v>
          </cell>
          <cell r="ET169">
            <v>0</v>
          </cell>
          <cell r="EU169">
            <v>150</v>
          </cell>
          <cell r="EV169">
            <v>1</v>
          </cell>
          <cell r="EW169">
            <v>1</v>
          </cell>
          <cell r="EX169">
            <v>0</v>
          </cell>
          <cell r="EY169">
            <v>0</v>
          </cell>
          <cell r="EZ169">
            <v>0</v>
          </cell>
          <cell r="FA169">
            <v>65</v>
          </cell>
          <cell r="FB169">
            <v>1</v>
          </cell>
          <cell r="FC169">
            <v>1</v>
          </cell>
          <cell r="FD169">
            <v>0</v>
          </cell>
          <cell r="FE169">
            <v>0</v>
          </cell>
          <cell r="FF169">
            <v>15.48</v>
          </cell>
          <cell r="FG169">
            <v>2</v>
          </cell>
          <cell r="FH169">
            <v>2</v>
          </cell>
          <cell r="FI169">
            <v>44682</v>
          </cell>
          <cell r="FJ169">
            <v>15477</v>
          </cell>
          <cell r="FK169">
            <v>15477</v>
          </cell>
          <cell r="FL169">
            <v>2819</v>
          </cell>
          <cell r="FM169">
            <v>78.92</v>
          </cell>
          <cell r="FN169">
            <v>5508.3600000000006</v>
          </cell>
          <cell r="FO169">
            <v>16525.080000000002</v>
          </cell>
        </row>
        <row r="170">
          <cell r="AI170" t="str">
            <v>Ул. Правды дом 8/а</v>
          </cell>
          <cell r="AJ170">
            <v>16525.078125</v>
          </cell>
          <cell r="AK170">
            <v>1531.9</v>
          </cell>
          <cell r="AL170">
            <v>1016.4</v>
          </cell>
          <cell r="AM170">
            <v>3</v>
          </cell>
          <cell r="AN170">
            <v>3</v>
          </cell>
          <cell r="AO170" t="str">
            <v>АО УЖХ Демского района</v>
          </cell>
          <cell r="AP170">
            <v>1496.4</v>
          </cell>
          <cell r="AQ170">
            <v>31.1</v>
          </cell>
          <cell r="AR170">
            <v>126.2</v>
          </cell>
          <cell r="AS170">
            <v>6.5</v>
          </cell>
          <cell r="AT170">
            <v>36</v>
          </cell>
          <cell r="AU170">
            <v>3</v>
          </cell>
          <cell r="AV170">
            <v>84</v>
          </cell>
          <cell r="AW170">
            <v>0</v>
          </cell>
          <cell r="AX170">
            <v>0</v>
          </cell>
          <cell r="AY170">
            <v>0</v>
          </cell>
          <cell r="AZ170">
            <v>697.4</v>
          </cell>
          <cell r="BA170">
            <v>962.7</v>
          </cell>
          <cell r="BB170">
            <v>962.69970703125</v>
          </cell>
          <cell r="BC170" t="str">
            <v>Управляющая компания</v>
          </cell>
          <cell r="BD170" t="str">
            <v>1. Жилой дом</v>
          </cell>
          <cell r="BE170">
            <v>51</v>
          </cell>
          <cell r="BF170" t="str">
            <v>2.Чёрный</v>
          </cell>
          <cell r="BG170">
            <v>51</v>
          </cell>
          <cell r="BH170" t="str">
            <v>3.Водяной</v>
          </cell>
          <cell r="BI170" t="str">
            <v>МУП УИС</v>
          </cell>
          <cell r="BJ170" t="str">
            <v>1. Чугун</v>
          </cell>
          <cell r="BK170">
            <v>51</v>
          </cell>
          <cell r="BL170" t="str">
            <v>8.Сборные ж/б</v>
          </cell>
          <cell r="BM170">
            <v>21916</v>
          </cell>
          <cell r="BN170">
            <v>36</v>
          </cell>
          <cell r="BO170" t="str">
            <v>Оборудован</v>
          </cell>
          <cell r="BP170" t="str">
            <v>8.Профнастил</v>
          </cell>
          <cell r="BQ170" t="str">
            <v>1.Скатная</v>
          </cell>
          <cell r="BR170">
            <v>826</v>
          </cell>
          <cell r="BS170">
            <v>641.1</v>
          </cell>
          <cell r="BT170">
            <v>641.099609375</v>
          </cell>
          <cell r="BU170">
            <v>641.099609375</v>
          </cell>
          <cell r="BV170">
            <v>0</v>
          </cell>
          <cell r="BW170" t="str">
            <v>3.Частный жилищный фонд</v>
          </cell>
          <cell r="BX170">
            <v>36</v>
          </cell>
          <cell r="BY170">
            <v>0</v>
          </cell>
          <cell r="BZ170" t="str">
            <v>2-я</v>
          </cell>
          <cell r="CA170">
            <v>1</v>
          </cell>
          <cell r="CB170">
            <v>27.01</v>
          </cell>
          <cell r="CC170">
            <v>1</v>
          </cell>
          <cell r="CD170">
            <v>1</v>
          </cell>
          <cell r="CE170">
            <v>1527.5</v>
          </cell>
          <cell r="CF170" t="str">
            <v>ООО "Гранд"</v>
          </cell>
          <cell r="CG170">
            <v>35</v>
          </cell>
          <cell r="CH170">
            <v>1</v>
          </cell>
          <cell r="CI170">
            <v>1</v>
          </cell>
          <cell r="CJ170">
            <v>1</v>
          </cell>
          <cell r="CK170">
            <v>0</v>
          </cell>
          <cell r="CL170">
            <v>0</v>
          </cell>
          <cell r="CM170">
            <v>36</v>
          </cell>
          <cell r="CN170">
            <v>132.69999999999999</v>
          </cell>
          <cell r="CO170">
            <v>0</v>
          </cell>
          <cell r="CP170">
            <v>773.8</v>
          </cell>
          <cell r="CQ170">
            <v>773.7998046875</v>
          </cell>
          <cell r="CR170">
            <v>773.7998046875</v>
          </cell>
          <cell r="CS170">
            <v>1</v>
          </cell>
          <cell r="CT170">
            <v>36</v>
          </cell>
          <cell r="CU170">
            <v>0</v>
          </cell>
          <cell r="CV170">
            <v>28</v>
          </cell>
          <cell r="CW170">
            <v>0</v>
          </cell>
          <cell r="CX170">
            <v>1</v>
          </cell>
          <cell r="CY170">
            <v>1</v>
          </cell>
          <cell r="CZ170">
            <v>5269</v>
          </cell>
          <cell r="DA170" t="str">
            <v>Демский</v>
          </cell>
          <cell r="DB170" t="str">
            <v>3.Сборные ж/б панели</v>
          </cell>
          <cell r="DC170">
            <v>5269</v>
          </cell>
          <cell r="DD170">
            <v>5269</v>
          </cell>
          <cell r="DE170">
            <v>5269</v>
          </cell>
          <cell r="DF170">
            <v>5269</v>
          </cell>
          <cell r="DG170">
            <v>5269</v>
          </cell>
          <cell r="DH170">
            <v>5269</v>
          </cell>
          <cell r="DI170">
            <v>5269</v>
          </cell>
          <cell r="DJ170">
            <v>5269</v>
          </cell>
          <cell r="DK170">
            <v>0</v>
          </cell>
          <cell r="DL170">
            <v>0</v>
          </cell>
          <cell r="DM170">
            <v>2711925</v>
          </cell>
          <cell r="DN170">
            <v>1</v>
          </cell>
          <cell r="DO170">
            <v>1</v>
          </cell>
          <cell r="DP170" t="str">
            <v>УЖХ</v>
          </cell>
          <cell r="DQ170">
            <v>35818</v>
          </cell>
          <cell r="DR170">
            <v>0</v>
          </cell>
          <cell r="DS170">
            <v>36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 t="str">
            <v>3.Зависимая схема</v>
          </cell>
          <cell r="EE170" t="str">
            <v>Верхний</v>
          </cell>
          <cell r="EF170">
            <v>0</v>
          </cell>
          <cell r="EG170">
            <v>0</v>
          </cell>
          <cell r="EH170">
            <v>0</v>
          </cell>
          <cell r="EI170">
            <v>962.7</v>
          </cell>
          <cell r="EJ170">
            <v>28.5</v>
          </cell>
          <cell r="EK170">
            <v>583</v>
          </cell>
          <cell r="EL170">
            <v>583</v>
          </cell>
          <cell r="EM170">
            <v>85.9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0</v>
          </cell>
          <cell r="FF170">
            <v>14.73</v>
          </cell>
          <cell r="FG170">
            <v>14.729995727539063</v>
          </cell>
          <cell r="FH170" t="str">
            <v>С УЛК (ЖЭУ)</v>
          </cell>
          <cell r="FI170">
            <v>42928</v>
          </cell>
          <cell r="FJ170">
            <v>15477</v>
          </cell>
          <cell r="FK170">
            <v>15477</v>
          </cell>
          <cell r="FL170">
            <v>2305.6999999999998</v>
          </cell>
          <cell r="FM170">
            <v>78.92</v>
          </cell>
          <cell r="FN170">
            <v>3813.48</v>
          </cell>
          <cell r="FO170">
            <v>11440.44</v>
          </cell>
        </row>
        <row r="171">
          <cell r="AI171" t="str">
            <v>Ул. Правды дом 10</v>
          </cell>
          <cell r="AJ171">
            <v>11440.4375</v>
          </cell>
          <cell r="AK171">
            <v>1404</v>
          </cell>
          <cell r="AL171">
            <v>961</v>
          </cell>
          <cell r="AM171">
            <v>3</v>
          </cell>
          <cell r="AN171">
            <v>3</v>
          </cell>
          <cell r="AO171" t="str">
            <v>АО УЖХ Демского района</v>
          </cell>
          <cell r="AP171">
            <v>1375.66</v>
          </cell>
          <cell r="AQ171">
            <v>28.34</v>
          </cell>
          <cell r="AR171">
            <v>185.1</v>
          </cell>
          <cell r="AS171">
            <v>508.1</v>
          </cell>
          <cell r="AT171">
            <v>33</v>
          </cell>
          <cell r="AU171">
            <v>3</v>
          </cell>
          <cell r="AV171">
            <v>68</v>
          </cell>
          <cell r="AW171">
            <v>0</v>
          </cell>
          <cell r="AX171">
            <v>0</v>
          </cell>
          <cell r="AY171">
            <v>126.4</v>
          </cell>
          <cell r="AZ171">
            <v>1102.5999999999999</v>
          </cell>
          <cell r="BA171">
            <v>1011.3</v>
          </cell>
          <cell r="BB171">
            <v>1011.2998046875</v>
          </cell>
          <cell r="BC171" t="str">
            <v>Управляющая компания</v>
          </cell>
          <cell r="BD171" t="str">
            <v>1. Жилой дом</v>
          </cell>
          <cell r="BE171">
            <v>51</v>
          </cell>
          <cell r="BF171" t="str">
            <v>1.Оцинкованный</v>
          </cell>
          <cell r="BG171">
            <v>51</v>
          </cell>
          <cell r="BH171" t="str">
            <v>3.Водяной</v>
          </cell>
          <cell r="BI171" t="str">
            <v>МУП УИС</v>
          </cell>
          <cell r="BJ171" t="str">
            <v>1. Чугун</v>
          </cell>
          <cell r="BK171">
            <v>0</v>
          </cell>
          <cell r="BL171" t="str">
            <v>8.Сборные ж/б</v>
          </cell>
          <cell r="BM171">
            <v>21916</v>
          </cell>
          <cell r="BN171">
            <v>33</v>
          </cell>
          <cell r="BO171" t="str">
            <v>Оборудован</v>
          </cell>
          <cell r="BP171" t="str">
            <v>8.Профнастил</v>
          </cell>
          <cell r="BQ171" t="str">
            <v>1.Скатная</v>
          </cell>
          <cell r="BR171">
            <v>826</v>
          </cell>
          <cell r="BS171">
            <v>639.5</v>
          </cell>
          <cell r="BT171">
            <v>639.5</v>
          </cell>
          <cell r="BU171">
            <v>639.5</v>
          </cell>
          <cell r="BV171">
            <v>0</v>
          </cell>
          <cell r="BW171" t="str">
            <v>3.Частный жилищный фонд</v>
          </cell>
          <cell r="BX171">
            <v>33</v>
          </cell>
          <cell r="BY171">
            <v>0</v>
          </cell>
          <cell r="BZ171" t="str">
            <v>2-я</v>
          </cell>
          <cell r="CA171">
            <v>1</v>
          </cell>
          <cell r="CB171">
            <v>27.01</v>
          </cell>
          <cell r="CC171">
            <v>1</v>
          </cell>
          <cell r="CD171">
            <v>1</v>
          </cell>
          <cell r="CE171">
            <v>1462.7</v>
          </cell>
          <cell r="CF171" t="str">
            <v>ООО "Гранд"</v>
          </cell>
          <cell r="CG171">
            <v>32</v>
          </cell>
          <cell r="CH171">
            <v>1</v>
          </cell>
          <cell r="CI171">
            <v>1</v>
          </cell>
          <cell r="CJ171">
            <v>1</v>
          </cell>
          <cell r="CK171">
            <v>0</v>
          </cell>
          <cell r="CL171">
            <v>1</v>
          </cell>
          <cell r="CM171">
            <v>34</v>
          </cell>
          <cell r="CN171">
            <v>693.2</v>
          </cell>
          <cell r="CO171">
            <v>0</v>
          </cell>
          <cell r="CP171">
            <v>1332.7</v>
          </cell>
          <cell r="CQ171">
            <v>1332.69921875</v>
          </cell>
          <cell r="CR171">
            <v>1332.69921875</v>
          </cell>
          <cell r="CS171">
            <v>0</v>
          </cell>
          <cell r="CT171">
            <v>33</v>
          </cell>
          <cell r="CU171">
            <v>0</v>
          </cell>
          <cell r="CV171">
            <v>25</v>
          </cell>
          <cell r="CW171">
            <v>0</v>
          </cell>
          <cell r="CX171">
            <v>1</v>
          </cell>
          <cell r="CY171">
            <v>1</v>
          </cell>
          <cell r="CZ171">
            <v>5313</v>
          </cell>
          <cell r="DA171" t="str">
            <v>Демский</v>
          </cell>
          <cell r="DB171" t="str">
            <v>3.Сборные ж/б панели</v>
          </cell>
          <cell r="DC171">
            <v>5313</v>
          </cell>
          <cell r="DD171">
            <v>5313</v>
          </cell>
          <cell r="DE171">
            <v>5313</v>
          </cell>
          <cell r="DF171">
            <v>5313</v>
          </cell>
          <cell r="DG171">
            <v>5313</v>
          </cell>
          <cell r="DH171">
            <v>5313</v>
          </cell>
          <cell r="DI171">
            <v>5313</v>
          </cell>
          <cell r="DJ171">
            <v>5313</v>
          </cell>
          <cell r="DK171">
            <v>0</v>
          </cell>
          <cell r="DL171">
            <v>0</v>
          </cell>
          <cell r="DM171">
            <v>2739692</v>
          </cell>
          <cell r="DN171">
            <v>2</v>
          </cell>
          <cell r="DO171">
            <v>2</v>
          </cell>
          <cell r="DP171" t="str">
            <v>УЖХ</v>
          </cell>
          <cell r="DQ171">
            <v>44166</v>
          </cell>
          <cell r="DR171">
            <v>0</v>
          </cell>
          <cell r="DS171">
            <v>33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 t="str">
            <v>3.Зависимая схема</v>
          </cell>
          <cell r="EE171" t="str">
            <v>Верхний</v>
          </cell>
          <cell r="EF171">
            <v>0</v>
          </cell>
          <cell r="EG171">
            <v>666</v>
          </cell>
          <cell r="EH171">
            <v>18</v>
          </cell>
          <cell r="EI171">
            <v>993.3</v>
          </cell>
          <cell r="EJ171">
            <v>299.8</v>
          </cell>
          <cell r="EK171">
            <v>657.4</v>
          </cell>
          <cell r="EL171">
            <v>657.39990234375</v>
          </cell>
          <cell r="EM171">
            <v>94.4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  <cell r="EX171">
            <v>0</v>
          </cell>
          <cell r="EY171">
            <v>0</v>
          </cell>
          <cell r="EZ171">
            <v>0</v>
          </cell>
          <cell r="FA171">
            <v>51</v>
          </cell>
          <cell r="FB171">
            <v>1</v>
          </cell>
          <cell r="FC171">
            <v>1</v>
          </cell>
          <cell r="FD171">
            <v>0</v>
          </cell>
          <cell r="FE171">
            <v>0</v>
          </cell>
          <cell r="FF171">
            <v>11.01</v>
          </cell>
          <cell r="FG171">
            <v>11.009994506835938</v>
          </cell>
          <cell r="FH171" t="str">
            <v>С УЛК (ЖЭУ)</v>
          </cell>
          <cell r="FI171">
            <v>43497</v>
          </cell>
          <cell r="FJ171">
            <v>15477</v>
          </cell>
          <cell r="FK171">
            <v>15477</v>
          </cell>
          <cell r="FL171">
            <v>2863.1</v>
          </cell>
          <cell r="FM171">
            <v>78.92</v>
          </cell>
          <cell r="FN171">
            <v>3495.69</v>
          </cell>
          <cell r="FO171">
            <v>10487.07</v>
          </cell>
        </row>
        <row r="172">
          <cell r="AI172" t="str">
            <v>Ул. Правды дом 10/а</v>
          </cell>
          <cell r="AJ172">
            <v>10487.0625</v>
          </cell>
          <cell r="AK172">
            <v>1540.2</v>
          </cell>
          <cell r="AL172">
            <v>1029.4000000000001</v>
          </cell>
          <cell r="AM172">
            <v>3</v>
          </cell>
          <cell r="AN172">
            <v>3</v>
          </cell>
          <cell r="AO172" t="str">
            <v>АО УЖХ Демского района</v>
          </cell>
          <cell r="AP172">
            <v>1341.8</v>
          </cell>
          <cell r="AQ172">
            <v>189.9</v>
          </cell>
          <cell r="AR172">
            <v>111.8</v>
          </cell>
          <cell r="AS172">
            <v>6.2</v>
          </cell>
          <cell r="AT172">
            <v>36</v>
          </cell>
          <cell r="AU172">
            <v>3</v>
          </cell>
          <cell r="AV172">
            <v>78</v>
          </cell>
          <cell r="AW172">
            <v>0</v>
          </cell>
          <cell r="AX172">
            <v>0</v>
          </cell>
          <cell r="AY172">
            <v>0</v>
          </cell>
          <cell r="AZ172">
            <v>817.97</v>
          </cell>
          <cell r="BA172">
            <v>2812.5</v>
          </cell>
          <cell r="BB172">
            <v>2812.5</v>
          </cell>
          <cell r="BC172" t="str">
            <v>Управляющая компания</v>
          </cell>
          <cell r="BD172" t="str">
            <v>1. Жилой дом</v>
          </cell>
          <cell r="BE172">
            <v>50.2</v>
          </cell>
          <cell r="BF172" t="str">
            <v>1.Оцинкованный</v>
          </cell>
          <cell r="BG172">
            <v>50.199981689453125</v>
          </cell>
          <cell r="BH172" t="str">
            <v>3.Водяной</v>
          </cell>
          <cell r="BI172" t="str">
            <v>МУП УИС</v>
          </cell>
          <cell r="BJ172" t="str">
            <v>1. Чугун</v>
          </cell>
          <cell r="BK172">
            <v>50.199981689453125</v>
          </cell>
          <cell r="BL172" t="str">
            <v>8.Сборные ж/б</v>
          </cell>
          <cell r="BM172">
            <v>22282</v>
          </cell>
          <cell r="BN172">
            <v>36</v>
          </cell>
          <cell r="BO172" t="str">
            <v>Оборудован</v>
          </cell>
          <cell r="BP172" t="str">
            <v>8.Профнастил</v>
          </cell>
          <cell r="BQ172" t="str">
            <v>1.Скатная</v>
          </cell>
          <cell r="BR172">
            <v>828.1</v>
          </cell>
          <cell r="BS172">
            <v>644.29999999999995</v>
          </cell>
          <cell r="BT172">
            <v>644.2998046875</v>
          </cell>
          <cell r="BU172">
            <v>644.2998046875</v>
          </cell>
          <cell r="BV172">
            <v>0</v>
          </cell>
          <cell r="BW172" t="str">
            <v>3.Частный жилищный фонд</v>
          </cell>
          <cell r="BX172">
            <v>36</v>
          </cell>
          <cell r="BY172">
            <v>0</v>
          </cell>
          <cell r="BZ172" t="str">
            <v>2-я</v>
          </cell>
          <cell r="CA172">
            <v>1</v>
          </cell>
          <cell r="CB172">
            <v>27.01</v>
          </cell>
          <cell r="CC172">
            <v>1</v>
          </cell>
          <cell r="CD172">
            <v>1</v>
          </cell>
          <cell r="CE172">
            <v>1531.7</v>
          </cell>
          <cell r="CF172" t="str">
            <v>ООО "Гранд"</v>
          </cell>
          <cell r="CG172">
            <v>32</v>
          </cell>
          <cell r="CH172">
            <v>4</v>
          </cell>
          <cell r="CI172">
            <v>4</v>
          </cell>
          <cell r="CJ172">
            <v>4</v>
          </cell>
          <cell r="CK172">
            <v>0</v>
          </cell>
          <cell r="CL172">
            <v>1</v>
          </cell>
          <cell r="CM172">
            <v>36</v>
          </cell>
          <cell r="CN172">
            <v>118</v>
          </cell>
          <cell r="CO172">
            <v>0</v>
          </cell>
          <cell r="CP172">
            <v>762.3</v>
          </cell>
          <cell r="CQ172">
            <v>762.2998046875</v>
          </cell>
          <cell r="CR172">
            <v>762.2998046875</v>
          </cell>
          <cell r="CS172">
            <v>1</v>
          </cell>
          <cell r="CT172">
            <v>36</v>
          </cell>
          <cell r="CU172">
            <v>0</v>
          </cell>
          <cell r="CV172">
            <v>24</v>
          </cell>
          <cell r="CW172">
            <v>0</v>
          </cell>
          <cell r="CX172">
            <v>1</v>
          </cell>
          <cell r="CY172">
            <v>1</v>
          </cell>
          <cell r="CZ172">
            <v>5351</v>
          </cell>
          <cell r="DA172" t="str">
            <v>Демский</v>
          </cell>
          <cell r="DB172" t="str">
            <v>3.Сборные ж/б панели</v>
          </cell>
          <cell r="DC172">
            <v>5351</v>
          </cell>
          <cell r="DD172">
            <v>5351</v>
          </cell>
          <cell r="DE172">
            <v>5351</v>
          </cell>
          <cell r="DF172">
            <v>5351</v>
          </cell>
          <cell r="DG172">
            <v>5351</v>
          </cell>
          <cell r="DH172">
            <v>5351</v>
          </cell>
          <cell r="DI172">
            <v>5351</v>
          </cell>
          <cell r="DJ172">
            <v>5351</v>
          </cell>
          <cell r="DK172">
            <v>0</v>
          </cell>
          <cell r="DL172">
            <v>0</v>
          </cell>
          <cell r="DM172">
            <v>2516760</v>
          </cell>
          <cell r="DN172">
            <v>2</v>
          </cell>
          <cell r="DO172">
            <v>2</v>
          </cell>
          <cell r="DP172" t="str">
            <v>УЖХ</v>
          </cell>
          <cell r="DQ172">
            <v>35655</v>
          </cell>
          <cell r="DR172">
            <v>0</v>
          </cell>
          <cell r="DS172">
            <v>36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 t="str">
            <v>3.Зависимая схема</v>
          </cell>
          <cell r="EE172" t="str">
            <v>Верхний</v>
          </cell>
          <cell r="EF172">
            <v>0</v>
          </cell>
          <cell r="EG172">
            <v>0</v>
          </cell>
          <cell r="EH172">
            <v>4</v>
          </cell>
          <cell r="EI172">
            <v>2808.5</v>
          </cell>
          <cell r="EJ172">
            <v>15.12</v>
          </cell>
          <cell r="EK172">
            <v>614.35</v>
          </cell>
          <cell r="EL172">
            <v>614.349609375</v>
          </cell>
          <cell r="EM172">
            <v>93</v>
          </cell>
          <cell r="EN172">
            <v>4</v>
          </cell>
          <cell r="EO172">
            <v>4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8</v>
          </cell>
          <cell r="EX172">
            <v>1</v>
          </cell>
          <cell r="EY172">
            <v>1</v>
          </cell>
          <cell r="EZ172">
            <v>0</v>
          </cell>
          <cell r="FA172">
            <v>87.5</v>
          </cell>
          <cell r="FB172">
            <v>1</v>
          </cell>
          <cell r="FC172">
            <v>1</v>
          </cell>
          <cell r="FD172">
            <v>0</v>
          </cell>
          <cell r="FE172">
            <v>0</v>
          </cell>
          <cell r="FF172">
            <v>13.82</v>
          </cell>
          <cell r="FG172">
            <v>13.819999694824219</v>
          </cell>
          <cell r="FH172" t="str">
            <v>С УЛК (ЖЭУ)</v>
          </cell>
          <cell r="FI172">
            <v>44013</v>
          </cell>
          <cell r="FJ172">
            <v>15477</v>
          </cell>
          <cell r="FK172">
            <v>15477</v>
          </cell>
          <cell r="FL172">
            <v>2302.5</v>
          </cell>
          <cell r="FM172">
            <v>78.92</v>
          </cell>
          <cell r="FN172">
            <v>3813.48</v>
          </cell>
          <cell r="FO172">
            <v>11440.44</v>
          </cell>
        </row>
        <row r="173">
          <cell r="AI173" t="str">
            <v>Ул. Правды дом 11</v>
          </cell>
          <cell r="AJ173">
            <v>11440.4375</v>
          </cell>
          <cell r="AK173">
            <v>2460.9</v>
          </cell>
          <cell r="AL173">
            <v>1691.8</v>
          </cell>
          <cell r="AM173">
            <v>4</v>
          </cell>
          <cell r="AN173">
            <v>4</v>
          </cell>
          <cell r="AO173" t="str">
            <v>АО УЖХ Демского района</v>
          </cell>
          <cell r="AP173">
            <v>2305.4</v>
          </cell>
          <cell r="AQ173">
            <v>155.1</v>
          </cell>
          <cell r="AR173">
            <v>239.6</v>
          </cell>
          <cell r="AS173">
            <v>6.8</v>
          </cell>
          <cell r="AT173">
            <v>56</v>
          </cell>
          <cell r="AU173">
            <v>5</v>
          </cell>
          <cell r="AV173">
            <v>109</v>
          </cell>
          <cell r="AW173">
            <v>0</v>
          </cell>
          <cell r="AX173">
            <v>0</v>
          </cell>
          <cell r="AY173">
            <v>186</v>
          </cell>
          <cell r="AZ173">
            <v>965.25</v>
          </cell>
          <cell r="BA173">
            <v>950.4</v>
          </cell>
          <cell r="BB173">
            <v>950.39990234375</v>
          </cell>
          <cell r="BC173" t="str">
            <v>Управляющая компания</v>
          </cell>
          <cell r="BD173" t="str">
            <v>1. Жилой дом</v>
          </cell>
          <cell r="BE173">
            <v>44.6</v>
          </cell>
          <cell r="BF173" t="str">
            <v>1.Оцинкованный</v>
          </cell>
          <cell r="BG173">
            <v>44.5999755859375</v>
          </cell>
          <cell r="BH173" t="str">
            <v>3.Водяной</v>
          </cell>
          <cell r="BI173" t="str">
            <v>МУП УИС</v>
          </cell>
          <cell r="BJ173" t="str">
            <v>1. Чугун</v>
          </cell>
          <cell r="BK173">
            <v>44.5999755859375</v>
          </cell>
          <cell r="BL173" t="str">
            <v>8.Сборные ж/б</v>
          </cell>
          <cell r="BM173">
            <v>24838</v>
          </cell>
          <cell r="BN173">
            <v>56</v>
          </cell>
          <cell r="BO173" t="str">
            <v>Оборудован</v>
          </cell>
          <cell r="BP173" t="str">
            <v>4.Мягк/рулонная</v>
          </cell>
          <cell r="BQ173" t="str">
            <v>2.Плоская</v>
          </cell>
          <cell r="BR173">
            <v>744</v>
          </cell>
          <cell r="BS173">
            <v>680.2</v>
          </cell>
          <cell r="BT173">
            <v>680.19970703125</v>
          </cell>
          <cell r="BU173">
            <v>680.19970703125</v>
          </cell>
          <cell r="BV173">
            <v>0</v>
          </cell>
          <cell r="BW173" t="str">
            <v>3.Частный жилищный фонд</v>
          </cell>
          <cell r="BX173">
            <v>56</v>
          </cell>
          <cell r="BY173">
            <v>0</v>
          </cell>
          <cell r="BZ173" t="str">
            <v>2-я</v>
          </cell>
          <cell r="CA173">
            <v>1</v>
          </cell>
          <cell r="CB173">
            <v>27.01</v>
          </cell>
          <cell r="CC173">
            <v>1</v>
          </cell>
          <cell r="CD173">
            <v>1</v>
          </cell>
          <cell r="CE173">
            <v>2497</v>
          </cell>
          <cell r="CF173" t="str">
            <v>ООО "Гранд"</v>
          </cell>
          <cell r="CG173">
            <v>53</v>
          </cell>
          <cell r="CH173">
            <v>3</v>
          </cell>
          <cell r="CI173">
            <v>3</v>
          </cell>
          <cell r="CJ173">
            <v>3</v>
          </cell>
          <cell r="CK173">
            <v>0</v>
          </cell>
          <cell r="CL173">
            <v>1</v>
          </cell>
          <cell r="CM173">
            <v>56</v>
          </cell>
          <cell r="CN173">
            <v>246.4</v>
          </cell>
          <cell r="CO173">
            <v>0</v>
          </cell>
          <cell r="CP173">
            <v>926.6</v>
          </cell>
          <cell r="CQ173">
            <v>926.599609375</v>
          </cell>
          <cell r="CR173">
            <v>926.599609375</v>
          </cell>
          <cell r="CS173">
            <v>1</v>
          </cell>
          <cell r="CT173">
            <v>56</v>
          </cell>
          <cell r="CU173">
            <v>0</v>
          </cell>
          <cell r="CV173">
            <v>42</v>
          </cell>
          <cell r="CW173">
            <v>0</v>
          </cell>
          <cell r="CX173">
            <v>1</v>
          </cell>
          <cell r="CY173">
            <v>1</v>
          </cell>
          <cell r="CZ173">
            <v>9591</v>
          </cell>
          <cell r="DA173" t="str">
            <v>Демский</v>
          </cell>
          <cell r="DB173" t="str">
            <v>3.Сборные ж/б панели</v>
          </cell>
          <cell r="DC173">
            <v>9591</v>
          </cell>
          <cell r="DD173">
            <v>9591</v>
          </cell>
          <cell r="DE173">
            <v>9591</v>
          </cell>
          <cell r="DF173">
            <v>9591</v>
          </cell>
          <cell r="DG173">
            <v>9591</v>
          </cell>
          <cell r="DH173">
            <v>9591</v>
          </cell>
          <cell r="DI173">
            <v>9591</v>
          </cell>
          <cell r="DJ173">
            <v>9591</v>
          </cell>
          <cell r="DK173">
            <v>0</v>
          </cell>
          <cell r="DL173">
            <v>0</v>
          </cell>
          <cell r="DM173">
            <v>4785345</v>
          </cell>
          <cell r="DN173">
            <v>4</v>
          </cell>
          <cell r="DO173">
            <v>4</v>
          </cell>
          <cell r="DP173" t="str">
            <v>УЖХ</v>
          </cell>
          <cell r="DQ173">
            <v>35781</v>
          </cell>
          <cell r="DR173">
            <v>0</v>
          </cell>
          <cell r="DS173">
            <v>56</v>
          </cell>
          <cell r="DT173">
            <v>0</v>
          </cell>
          <cell r="DU173">
            <v>0</v>
          </cell>
          <cell r="DV173">
            <v>0</v>
          </cell>
          <cell r="DW173">
            <v>0</v>
          </cell>
          <cell r="DX173">
            <v>0</v>
          </cell>
          <cell r="DY173">
            <v>0</v>
          </cell>
          <cell r="DZ173">
            <v>0</v>
          </cell>
          <cell r="EA173">
            <v>0</v>
          </cell>
          <cell r="EB173">
            <v>0</v>
          </cell>
          <cell r="EC173">
            <v>0</v>
          </cell>
          <cell r="ED173" t="str">
            <v>3.Зависимая схема</v>
          </cell>
          <cell r="EE173" t="str">
            <v>Нижний</v>
          </cell>
          <cell r="EF173">
            <v>0</v>
          </cell>
          <cell r="EG173">
            <v>0</v>
          </cell>
          <cell r="EH173">
            <v>50</v>
          </cell>
          <cell r="EI173">
            <v>900.4</v>
          </cell>
          <cell r="EJ173">
            <v>226.4</v>
          </cell>
          <cell r="EK173">
            <v>499.25</v>
          </cell>
          <cell r="EL173">
            <v>499.25</v>
          </cell>
          <cell r="EM173">
            <v>224</v>
          </cell>
          <cell r="EN173">
            <v>2</v>
          </cell>
          <cell r="EO173">
            <v>2</v>
          </cell>
          <cell r="EP173">
            <v>0</v>
          </cell>
          <cell r="EQ173">
            <v>0</v>
          </cell>
          <cell r="ER173">
            <v>0</v>
          </cell>
          <cell r="ES173">
            <v>0</v>
          </cell>
          <cell r="ET173">
            <v>0</v>
          </cell>
          <cell r="EU173">
            <v>0</v>
          </cell>
          <cell r="EV173">
            <v>0</v>
          </cell>
          <cell r="EW173">
            <v>15.6</v>
          </cell>
          <cell r="EX173">
            <v>1</v>
          </cell>
          <cell r="EY173">
            <v>1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15.33</v>
          </cell>
          <cell r="FG173">
            <v>2</v>
          </cell>
          <cell r="FH173">
            <v>2</v>
          </cell>
          <cell r="FI173">
            <v>43586</v>
          </cell>
          <cell r="FJ173">
            <v>15477</v>
          </cell>
          <cell r="FK173">
            <v>15477</v>
          </cell>
          <cell r="FL173">
            <v>3573.5</v>
          </cell>
          <cell r="FM173">
            <v>78.92</v>
          </cell>
          <cell r="FN173">
            <v>5932.0800000000008</v>
          </cell>
          <cell r="FO173">
            <v>17796.240000000002</v>
          </cell>
        </row>
        <row r="174">
          <cell r="AI174" t="str">
            <v>Ул. Правды дом 25</v>
          </cell>
          <cell r="AJ174">
            <v>17796.234375</v>
          </cell>
          <cell r="AK174">
            <v>12271.6</v>
          </cell>
          <cell r="AL174">
            <v>7509.3</v>
          </cell>
          <cell r="AM174">
            <v>6</v>
          </cell>
          <cell r="AN174">
            <v>6</v>
          </cell>
          <cell r="AO174" t="str">
            <v>АО УЖХ Демского района</v>
          </cell>
          <cell r="AP174">
            <v>12052.8</v>
          </cell>
          <cell r="AQ174">
            <v>218.3</v>
          </cell>
          <cell r="AR174">
            <v>717.5</v>
          </cell>
          <cell r="AS174">
            <v>804.7</v>
          </cell>
          <cell r="AT174">
            <v>225</v>
          </cell>
          <cell r="AU174">
            <v>10</v>
          </cell>
          <cell r="AV174">
            <v>602</v>
          </cell>
          <cell r="AW174">
            <v>0</v>
          </cell>
          <cell r="AX174" t="str">
            <v>отказ от услуги</v>
          </cell>
          <cell r="AY174">
            <v>2584.1</v>
          </cell>
          <cell r="AZ174">
            <v>4333.3999999999996</v>
          </cell>
          <cell r="BA174">
            <v>1404.4</v>
          </cell>
          <cell r="BB174">
            <v>1404.3994140625</v>
          </cell>
          <cell r="BC174" t="str">
            <v>Управляющая компания</v>
          </cell>
          <cell r="BD174" t="str">
            <v>1. Жилой дом</v>
          </cell>
          <cell r="BE174">
            <v>24.6</v>
          </cell>
          <cell r="BF174" t="str">
            <v>1.Оцинкованный</v>
          </cell>
          <cell r="BG174" t="str">
            <v>1.Оцинкованный</v>
          </cell>
          <cell r="BH174" t="str">
            <v>3.Водяной</v>
          </cell>
          <cell r="BI174" t="str">
            <v>МУП УИС</v>
          </cell>
          <cell r="BJ174" t="str">
            <v>1. Чугун</v>
          </cell>
          <cell r="BK174">
            <v>6</v>
          </cell>
          <cell r="BL174" t="str">
            <v>2.Кирпич</v>
          </cell>
          <cell r="BM174">
            <v>33970</v>
          </cell>
          <cell r="BN174">
            <v>33970</v>
          </cell>
          <cell r="BO174" t="str">
            <v>Оборудован</v>
          </cell>
          <cell r="BP174" t="str">
            <v>4.Мягк/рулонная</v>
          </cell>
          <cell r="BQ174" t="str">
            <v>2.Плоская</v>
          </cell>
          <cell r="BR174">
            <v>7475.1</v>
          </cell>
          <cell r="BS174">
            <v>1355.1</v>
          </cell>
          <cell r="BT174">
            <v>1355.099609375</v>
          </cell>
          <cell r="BU174">
            <v>583</v>
          </cell>
          <cell r="BV174">
            <v>583</v>
          </cell>
          <cell r="BW174" t="str">
            <v>3.Частный жилищный фонд</v>
          </cell>
          <cell r="BX174">
            <v>225</v>
          </cell>
          <cell r="BY174">
            <v>0</v>
          </cell>
          <cell r="BZ174" t="str">
            <v>2-я</v>
          </cell>
          <cell r="CA174">
            <v>1</v>
          </cell>
          <cell r="CB174">
            <v>27.01</v>
          </cell>
          <cell r="CC174">
            <v>27.009994506835938</v>
          </cell>
          <cell r="CD174">
            <v>12333.2</v>
          </cell>
          <cell r="CE174">
            <v>12333.1953125</v>
          </cell>
          <cell r="CF174" t="str">
            <v>ООО "Гранд"</v>
          </cell>
          <cell r="CG174">
            <v>221</v>
          </cell>
          <cell r="CH174">
            <v>4</v>
          </cell>
          <cell r="CI174">
            <v>4</v>
          </cell>
          <cell r="CJ174" t="str">
            <v>не предусмотрено проектом</v>
          </cell>
          <cell r="CK174">
            <v>0</v>
          </cell>
          <cell r="CL174">
            <v>1</v>
          </cell>
          <cell r="CM174">
            <v>225</v>
          </cell>
          <cell r="CN174">
            <v>1522.2</v>
          </cell>
          <cell r="CO174">
            <v>1522.2</v>
          </cell>
          <cell r="CP174">
            <v>3460.3</v>
          </cell>
          <cell r="CQ174">
            <v>3460.298828125</v>
          </cell>
          <cell r="CR174">
            <v>3460.298828125</v>
          </cell>
          <cell r="CS174">
            <v>3</v>
          </cell>
          <cell r="CT174">
            <v>225</v>
          </cell>
          <cell r="CU174">
            <v>0</v>
          </cell>
          <cell r="CV174">
            <v>197</v>
          </cell>
          <cell r="CW174">
            <v>195</v>
          </cell>
          <cell r="CX174">
            <v>3</v>
          </cell>
          <cell r="CY174">
            <v>3</v>
          </cell>
          <cell r="CZ174">
            <v>66763</v>
          </cell>
          <cell r="DA174" t="str">
            <v>Демский</v>
          </cell>
          <cell r="DB174" t="str">
            <v>3.Сборные ж/б панели</v>
          </cell>
          <cell r="DC174">
            <v>66763</v>
          </cell>
          <cell r="DD174">
            <v>66763</v>
          </cell>
          <cell r="DE174">
            <v>66763</v>
          </cell>
          <cell r="DF174">
            <v>66763</v>
          </cell>
          <cell r="DG174">
            <v>66763</v>
          </cell>
          <cell r="DH174">
            <v>66763</v>
          </cell>
          <cell r="DI174">
            <v>66763</v>
          </cell>
          <cell r="DJ174" t="str">
            <v>АО УЖХ Демского района</v>
          </cell>
          <cell r="DK174">
            <v>66763</v>
          </cell>
          <cell r="DL174">
            <v>66763</v>
          </cell>
          <cell r="DM174">
            <v>28513710</v>
          </cell>
          <cell r="DN174">
            <v>5</v>
          </cell>
          <cell r="DO174" t="str">
            <v>ГВС</v>
          </cell>
          <cell r="DP174" t="str">
            <v>УЖХ</v>
          </cell>
          <cell r="DQ174">
            <v>40376</v>
          </cell>
          <cell r="DR174">
            <v>0</v>
          </cell>
          <cell r="DS174">
            <v>0</v>
          </cell>
          <cell r="DT174">
            <v>225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0</v>
          </cell>
          <cell r="EA174">
            <v>0</v>
          </cell>
          <cell r="EB174">
            <v>0</v>
          </cell>
          <cell r="EC174">
            <v>0</v>
          </cell>
          <cell r="ED174" t="str">
            <v>4. Независимая схема</v>
          </cell>
          <cell r="EE174" t="str">
            <v>Нижний</v>
          </cell>
          <cell r="EF174">
            <v>0</v>
          </cell>
          <cell r="EG174">
            <v>0</v>
          </cell>
          <cell r="EH174">
            <v>0</v>
          </cell>
          <cell r="EI174">
            <v>1089.4000000000001</v>
          </cell>
          <cell r="EJ174">
            <v>1823.9</v>
          </cell>
          <cell r="EK174">
            <v>2070.1999999999998</v>
          </cell>
          <cell r="EL174">
            <v>2070.19921875</v>
          </cell>
          <cell r="EM174">
            <v>303.8</v>
          </cell>
          <cell r="EN174">
            <v>6</v>
          </cell>
          <cell r="EO174">
            <v>6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T174">
            <v>0</v>
          </cell>
          <cell r="EU174">
            <v>315</v>
          </cell>
          <cell r="EV174">
            <v>1</v>
          </cell>
          <cell r="EW174">
            <v>35</v>
          </cell>
          <cell r="EX174">
            <v>1</v>
          </cell>
          <cell r="EY174">
            <v>1</v>
          </cell>
          <cell r="EZ174">
            <v>0</v>
          </cell>
          <cell r="FA174">
            <v>115.5</v>
          </cell>
          <cell r="FB174">
            <v>1</v>
          </cell>
          <cell r="FC174">
            <v>1</v>
          </cell>
          <cell r="FD174">
            <v>0</v>
          </cell>
          <cell r="FE174">
            <v>0</v>
          </cell>
          <cell r="FF174">
            <v>17.14</v>
          </cell>
          <cell r="FG174">
            <v>2</v>
          </cell>
          <cell r="FH174">
            <v>2</v>
          </cell>
          <cell r="FI174">
            <v>43466</v>
          </cell>
          <cell r="FJ174">
            <v>15477</v>
          </cell>
          <cell r="FK174">
            <v>15477</v>
          </cell>
          <cell r="FL174">
            <v>17733</v>
          </cell>
          <cell r="FM174">
            <v>78.92</v>
          </cell>
          <cell r="FN174">
            <v>6077.25</v>
          </cell>
          <cell r="FO174">
            <v>18231.75</v>
          </cell>
        </row>
        <row r="175">
          <cell r="AI175" t="str">
            <v>Ул. Правды дом 25/1</v>
          </cell>
          <cell r="AJ175">
            <v>18231.75</v>
          </cell>
          <cell r="AK175">
            <v>1534.9</v>
          </cell>
          <cell r="AL175">
            <v>905.1</v>
          </cell>
          <cell r="AM175">
            <v>1</v>
          </cell>
          <cell r="AN175">
            <v>1</v>
          </cell>
          <cell r="AO175" t="str">
            <v>АО УЖХ Демского района</v>
          </cell>
          <cell r="AP175">
            <v>1357.6</v>
          </cell>
          <cell r="AQ175">
            <v>177.3</v>
          </cell>
          <cell r="AR175">
            <v>69.5</v>
          </cell>
          <cell r="AS175">
            <v>38.299999999999997</v>
          </cell>
          <cell r="AT175">
            <v>20</v>
          </cell>
          <cell r="AU175">
            <v>5</v>
          </cell>
          <cell r="AV175">
            <v>61</v>
          </cell>
          <cell r="AW175">
            <v>0</v>
          </cell>
          <cell r="AX175">
            <v>0</v>
          </cell>
          <cell r="AY175">
            <v>141.19999999999999</v>
          </cell>
          <cell r="AZ175">
            <v>1186</v>
          </cell>
          <cell r="BA175">
            <v>558.29999999999995</v>
          </cell>
          <cell r="BB175">
            <v>558.2998046875</v>
          </cell>
          <cell r="BC175" t="str">
            <v>Управляющая компания</v>
          </cell>
          <cell r="BD175" t="str">
            <v>1. Жилой дом</v>
          </cell>
          <cell r="BE175">
            <v>25.4</v>
          </cell>
          <cell r="BF175" t="str">
            <v>1.Оцинкованный</v>
          </cell>
          <cell r="BG175" t="str">
            <v>1.Оцинкованный</v>
          </cell>
          <cell r="BH175" t="str">
            <v>3.Водяной</v>
          </cell>
          <cell r="BI175" t="str">
            <v>МУП УИС</v>
          </cell>
          <cell r="BJ175" t="str">
            <v>1. Чугун</v>
          </cell>
          <cell r="BK175">
            <v>25.399993896484375</v>
          </cell>
          <cell r="BL175" t="str">
            <v>2.Кирпич</v>
          </cell>
          <cell r="BM175">
            <v>33604</v>
          </cell>
          <cell r="BN175">
            <v>33604</v>
          </cell>
          <cell r="BO175" t="str">
            <v>Оборудован</v>
          </cell>
          <cell r="BP175" t="str">
            <v>4.Мягк/рулонная</v>
          </cell>
          <cell r="BQ175" t="str">
            <v>2.Плоская</v>
          </cell>
          <cell r="BR175">
            <v>504.8</v>
          </cell>
          <cell r="BS175">
            <v>458.9</v>
          </cell>
          <cell r="BT175">
            <v>141.19999999999999</v>
          </cell>
          <cell r="BU175">
            <v>141.199951171875</v>
          </cell>
          <cell r="BV175">
            <v>0</v>
          </cell>
          <cell r="BW175" t="str">
            <v>3.Частный жилищный фонд</v>
          </cell>
          <cell r="BX175">
            <v>20</v>
          </cell>
          <cell r="BY175">
            <v>0</v>
          </cell>
          <cell r="BZ175" t="str">
            <v>2-я</v>
          </cell>
          <cell r="CA175">
            <v>1</v>
          </cell>
          <cell r="CB175">
            <v>27.01</v>
          </cell>
          <cell r="CC175">
            <v>27.009994506835938</v>
          </cell>
          <cell r="CD175">
            <v>1534.9</v>
          </cell>
          <cell r="CE175">
            <v>1534.8994140625</v>
          </cell>
          <cell r="CF175" t="str">
            <v>ООО "Гранд"</v>
          </cell>
          <cell r="CG175">
            <v>18</v>
          </cell>
          <cell r="CH175">
            <v>2</v>
          </cell>
          <cell r="CI175">
            <v>2</v>
          </cell>
          <cell r="CJ175">
            <v>2</v>
          </cell>
          <cell r="CK175">
            <v>0</v>
          </cell>
          <cell r="CL175">
            <v>0</v>
          </cell>
          <cell r="CM175">
            <v>22</v>
          </cell>
          <cell r="CN175">
            <v>107.8</v>
          </cell>
          <cell r="CO175">
            <v>107.8</v>
          </cell>
          <cell r="CP175">
            <v>425.5</v>
          </cell>
          <cell r="CQ175">
            <v>425.5</v>
          </cell>
          <cell r="CR175">
            <v>425.5</v>
          </cell>
          <cell r="CS175">
            <v>1</v>
          </cell>
          <cell r="CT175">
            <v>20</v>
          </cell>
          <cell r="CU175">
            <v>0</v>
          </cell>
          <cell r="CV175">
            <v>18</v>
          </cell>
          <cell r="CW175">
            <v>17</v>
          </cell>
          <cell r="CX175">
            <v>1</v>
          </cell>
          <cell r="CY175">
            <v>1</v>
          </cell>
          <cell r="CZ175">
            <v>7974</v>
          </cell>
          <cell r="DA175" t="str">
            <v>Демский</v>
          </cell>
          <cell r="DB175" t="str">
            <v>3.Сборные ж/б панели</v>
          </cell>
          <cell r="DC175">
            <v>7974</v>
          </cell>
          <cell r="DD175">
            <v>7974</v>
          </cell>
          <cell r="DE175">
            <v>7974</v>
          </cell>
          <cell r="DF175">
            <v>7974</v>
          </cell>
          <cell r="DG175">
            <v>7974</v>
          </cell>
          <cell r="DH175">
            <v>7974</v>
          </cell>
          <cell r="DI175">
            <v>7974</v>
          </cell>
          <cell r="DJ175">
            <v>7974</v>
          </cell>
          <cell r="DK175">
            <v>7974</v>
          </cell>
          <cell r="DL175">
            <v>7974</v>
          </cell>
          <cell r="DM175">
            <v>3116535</v>
          </cell>
          <cell r="DN175">
            <v>1</v>
          </cell>
          <cell r="DO175" t="str">
            <v>ГВС</v>
          </cell>
          <cell r="DP175" t="str">
            <v>УЖХ</v>
          </cell>
          <cell r="DQ175">
            <v>40155</v>
          </cell>
          <cell r="DR175">
            <v>0</v>
          </cell>
          <cell r="DS175">
            <v>20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 t="str">
            <v>4. Независимая схема</v>
          </cell>
          <cell r="EE175" t="str">
            <v>Нижний</v>
          </cell>
          <cell r="EF175">
            <v>0</v>
          </cell>
          <cell r="EG175">
            <v>0</v>
          </cell>
          <cell r="EH175">
            <v>0</v>
          </cell>
          <cell r="EI175">
            <v>558.29999999999995</v>
          </cell>
          <cell r="EJ175">
            <v>38.299999999999997</v>
          </cell>
          <cell r="EK175">
            <v>1014.8</v>
          </cell>
          <cell r="EL175">
            <v>1014.7998046875</v>
          </cell>
          <cell r="EM175">
            <v>90.8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42.1</v>
          </cell>
          <cell r="FB175">
            <v>1</v>
          </cell>
          <cell r="FC175">
            <v>1</v>
          </cell>
          <cell r="FD175">
            <v>0</v>
          </cell>
          <cell r="FE175">
            <v>0</v>
          </cell>
          <cell r="FF175">
            <v>16.079999999999998</v>
          </cell>
          <cell r="FG175">
            <v>2</v>
          </cell>
          <cell r="FH175">
            <v>2</v>
          </cell>
          <cell r="FI175">
            <v>43095</v>
          </cell>
          <cell r="FJ175">
            <v>15477</v>
          </cell>
          <cell r="FK175">
            <v>15477</v>
          </cell>
          <cell r="FL175">
            <v>2101.6</v>
          </cell>
          <cell r="FM175">
            <v>78.92</v>
          </cell>
          <cell r="FN175">
            <v>540.20000000000005</v>
          </cell>
          <cell r="FO175">
            <v>1620.6000000000001</v>
          </cell>
        </row>
        <row r="176">
          <cell r="AI176" t="str">
            <v>Ул. Аургазинская дом 8</v>
          </cell>
          <cell r="AJ176">
            <v>1620.599609375</v>
          </cell>
          <cell r="AK176">
            <v>277.89999999999998</v>
          </cell>
          <cell r="AL176">
            <v>189.6</v>
          </cell>
          <cell r="AM176">
            <v>1</v>
          </cell>
          <cell r="AN176">
            <v>1</v>
          </cell>
          <cell r="AO176" t="str">
            <v>АО УЖХ Демского района</v>
          </cell>
          <cell r="AP176">
            <v>277.89999999999998</v>
          </cell>
          <cell r="AQ176">
            <v>0</v>
          </cell>
          <cell r="AR176">
            <v>20.2</v>
          </cell>
          <cell r="AS176">
            <v>2.6</v>
          </cell>
          <cell r="AT176">
            <v>8</v>
          </cell>
          <cell r="AU176">
            <v>2</v>
          </cell>
          <cell r="AV176">
            <v>10</v>
          </cell>
          <cell r="AW176">
            <v>0</v>
          </cell>
          <cell r="AX176">
            <v>0</v>
          </cell>
          <cell r="AY176">
            <v>0</v>
          </cell>
          <cell r="AZ176">
            <v>4.5</v>
          </cell>
          <cell r="BA176">
            <v>665.4</v>
          </cell>
          <cell r="BB176" t="str">
            <v>Пост №911 от 24.07.2020</v>
          </cell>
          <cell r="BC176" t="str">
            <v>Непосредственное</v>
          </cell>
          <cell r="BD176" t="str">
            <v>1. Жилой дом</v>
          </cell>
          <cell r="BE176">
            <v>65.75</v>
          </cell>
          <cell r="BF176" t="str">
            <v>4.Колонка уличная</v>
          </cell>
          <cell r="BG176">
            <v>65.75</v>
          </cell>
          <cell r="BH176" t="str">
            <v>3.Водяной</v>
          </cell>
          <cell r="BI176" t="str">
            <v>МУП УИС</v>
          </cell>
          <cell r="BJ176" t="str">
            <v>2. ПВХ</v>
          </cell>
          <cell r="BK176">
            <v>65.75</v>
          </cell>
          <cell r="BL176" t="str">
            <v>2.Кирпич</v>
          </cell>
          <cell r="BM176">
            <v>21186</v>
          </cell>
          <cell r="BN176">
            <v>21186</v>
          </cell>
          <cell r="BO176" t="str">
            <v>Не оборудован</v>
          </cell>
          <cell r="BP176" t="str">
            <v>1.Абсоцемент(шифер)</v>
          </cell>
          <cell r="BQ176" t="str">
            <v>1.Скатная</v>
          </cell>
          <cell r="BR176">
            <v>199.6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 t="str">
            <v>3.Частный жилищный фонд</v>
          </cell>
          <cell r="BX176">
            <v>8</v>
          </cell>
          <cell r="BY176">
            <v>0</v>
          </cell>
          <cell r="BZ176" t="str">
            <v>3-я</v>
          </cell>
          <cell r="CA176">
            <v>1</v>
          </cell>
          <cell r="CB176">
            <v>27.01</v>
          </cell>
          <cell r="CC176">
            <v>27.009994506835938</v>
          </cell>
          <cell r="CD176">
            <v>27.009994506835938</v>
          </cell>
          <cell r="CE176">
            <v>27.009994506835938</v>
          </cell>
          <cell r="CF176" t="str">
            <v>ООО "Дёма Комфорт"</v>
          </cell>
          <cell r="CG176">
            <v>8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8</v>
          </cell>
          <cell r="CN176">
            <v>0</v>
          </cell>
          <cell r="CO176">
            <v>0</v>
          </cell>
          <cell r="CP176">
            <v>22.8</v>
          </cell>
          <cell r="CQ176">
            <v>22.79998779296875</v>
          </cell>
          <cell r="CR176">
            <v>22.79998779296875</v>
          </cell>
          <cell r="CS176">
            <v>0</v>
          </cell>
          <cell r="CT176">
            <v>8</v>
          </cell>
          <cell r="CU176">
            <v>0</v>
          </cell>
          <cell r="CV176">
            <v>0</v>
          </cell>
          <cell r="CW176">
            <v>0</v>
          </cell>
          <cell r="CX176">
            <v>1</v>
          </cell>
          <cell r="CY176">
            <v>1</v>
          </cell>
          <cell r="CZ176">
            <v>1198</v>
          </cell>
          <cell r="DA176" t="str">
            <v>Демский</v>
          </cell>
          <cell r="DB176" t="str">
            <v>2.Деревянные</v>
          </cell>
          <cell r="DC176">
            <v>1198</v>
          </cell>
          <cell r="DD176">
            <v>1198</v>
          </cell>
          <cell r="DE176">
            <v>1198</v>
          </cell>
          <cell r="DF176">
            <v>1198</v>
          </cell>
          <cell r="DG176">
            <v>1198</v>
          </cell>
          <cell r="DH176">
            <v>1198</v>
          </cell>
          <cell r="DI176">
            <v>1198</v>
          </cell>
          <cell r="DJ176">
            <v>1198</v>
          </cell>
          <cell r="DK176">
            <v>0</v>
          </cell>
          <cell r="DL176">
            <v>0</v>
          </cell>
          <cell r="DM176">
            <v>160736</v>
          </cell>
          <cell r="DN176">
            <v>0</v>
          </cell>
          <cell r="DO176">
            <v>0</v>
          </cell>
          <cell r="DP176" t="str">
            <v>УЖХ</v>
          </cell>
          <cell r="DQ176">
            <v>39507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  <cell r="DV176">
            <v>0</v>
          </cell>
          <cell r="DW176">
            <v>0</v>
          </cell>
          <cell r="DX176">
            <v>0</v>
          </cell>
          <cell r="DY176">
            <v>0</v>
          </cell>
          <cell r="DZ176">
            <v>0</v>
          </cell>
          <cell r="EA176">
            <v>0</v>
          </cell>
          <cell r="EB176">
            <v>1</v>
          </cell>
          <cell r="EC176">
            <v>0</v>
          </cell>
          <cell r="ED176" t="str">
            <v>4. Независимая схема</v>
          </cell>
          <cell r="EE176" t="str">
            <v>Нижний</v>
          </cell>
          <cell r="EF176">
            <v>0</v>
          </cell>
          <cell r="EG176">
            <v>0</v>
          </cell>
          <cell r="EH176">
            <v>0</v>
          </cell>
          <cell r="EI176">
            <v>665.4</v>
          </cell>
          <cell r="EJ176">
            <v>665.39990234375</v>
          </cell>
          <cell r="EK176">
            <v>665.39990234375</v>
          </cell>
          <cell r="EL176">
            <v>665.39990234375</v>
          </cell>
          <cell r="EM176">
            <v>665.39990234375</v>
          </cell>
          <cell r="EN176">
            <v>2</v>
          </cell>
          <cell r="EO176">
            <v>2</v>
          </cell>
          <cell r="EP176">
            <v>0</v>
          </cell>
          <cell r="EQ176">
            <v>0</v>
          </cell>
          <cell r="ER176">
            <v>0</v>
          </cell>
          <cell r="ES176">
            <v>0</v>
          </cell>
          <cell r="ET176">
            <v>0</v>
          </cell>
          <cell r="EU176">
            <v>0</v>
          </cell>
          <cell r="EV176">
            <v>0</v>
          </cell>
          <cell r="EW176">
            <v>4.5</v>
          </cell>
          <cell r="EX176">
            <v>1</v>
          </cell>
          <cell r="EY176">
            <v>1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17.72</v>
          </cell>
          <cell r="FG176">
            <v>17.719985961914063</v>
          </cell>
          <cell r="FH176" t="str">
            <v>С УЛК (ЖЭУ)</v>
          </cell>
          <cell r="FI176">
            <v>43647</v>
          </cell>
          <cell r="FJ176">
            <v>15477</v>
          </cell>
          <cell r="FK176">
            <v>11109</v>
          </cell>
          <cell r="FL176">
            <v>300.7</v>
          </cell>
          <cell r="FM176">
            <v>78.92</v>
          </cell>
          <cell r="FN176">
            <v>216.08</v>
          </cell>
          <cell r="FO176">
            <v>648.24</v>
          </cell>
        </row>
        <row r="177">
          <cell r="AI177" t="str">
            <v>Ул. Правды дом 31/1</v>
          </cell>
          <cell r="AJ177">
            <v>648.23974609375</v>
          </cell>
          <cell r="AK177">
            <v>3349.4</v>
          </cell>
          <cell r="AL177">
            <v>2256.1</v>
          </cell>
          <cell r="AM177">
            <v>4</v>
          </cell>
          <cell r="AN177">
            <v>4</v>
          </cell>
          <cell r="AO177" t="str">
            <v>АО УЖХ Демского района</v>
          </cell>
          <cell r="AP177">
            <v>3088.8</v>
          </cell>
          <cell r="AQ177">
            <v>261.39999999999998</v>
          </cell>
          <cell r="AR177">
            <v>262.3</v>
          </cell>
          <cell r="AS177">
            <v>8.8000000000000007</v>
          </cell>
          <cell r="AT177">
            <v>70</v>
          </cell>
          <cell r="AU177">
            <v>5</v>
          </cell>
          <cell r="AV177">
            <v>190</v>
          </cell>
          <cell r="AW177">
            <v>0</v>
          </cell>
          <cell r="AX177">
            <v>0</v>
          </cell>
          <cell r="AY177">
            <v>0</v>
          </cell>
          <cell r="AZ177">
            <v>1317.8</v>
          </cell>
          <cell r="BA177">
            <v>2287</v>
          </cell>
          <cell r="BB177">
            <v>2287</v>
          </cell>
          <cell r="BC177" t="str">
            <v>Управляющая компания</v>
          </cell>
          <cell r="BD177" t="str">
            <v>1. Жилой дом</v>
          </cell>
          <cell r="BE177">
            <v>39</v>
          </cell>
          <cell r="BF177" t="str">
            <v>1.Оцинкованный</v>
          </cell>
          <cell r="BG177" t="str">
            <v>1.Оцинкованный</v>
          </cell>
          <cell r="BH177" t="str">
            <v>3.Водяной</v>
          </cell>
          <cell r="BI177" t="str">
            <v>МУП УИС</v>
          </cell>
          <cell r="BJ177" t="str">
            <v>1. Чугун</v>
          </cell>
          <cell r="BK177">
            <v>39</v>
          </cell>
          <cell r="BL177" t="str">
            <v>2.Кирпич</v>
          </cell>
          <cell r="BM177">
            <v>27395</v>
          </cell>
          <cell r="BN177">
            <v>27395</v>
          </cell>
          <cell r="BO177" t="str">
            <v>Оборудован</v>
          </cell>
          <cell r="BP177" t="str">
            <v>4.Мягк/рулонная</v>
          </cell>
          <cell r="BQ177" t="str">
            <v>2.Плоская</v>
          </cell>
          <cell r="BR177">
            <v>1031</v>
          </cell>
          <cell r="BS177">
            <v>624.20000000000005</v>
          </cell>
          <cell r="BT177">
            <v>624.19970703125</v>
          </cell>
          <cell r="BU177">
            <v>624.19970703125</v>
          </cell>
          <cell r="BV177">
            <v>0</v>
          </cell>
          <cell r="BW177" t="str">
            <v>3.Частный жилищный фонд</v>
          </cell>
          <cell r="BX177">
            <v>70</v>
          </cell>
          <cell r="BY177">
            <v>0</v>
          </cell>
          <cell r="BZ177" t="str">
            <v>2-я</v>
          </cell>
          <cell r="CA177">
            <v>1</v>
          </cell>
          <cell r="CB177">
            <v>27.01</v>
          </cell>
          <cell r="CC177">
            <v>27.009994506835938</v>
          </cell>
          <cell r="CD177">
            <v>3350.2</v>
          </cell>
          <cell r="CE177">
            <v>3350.19921875</v>
          </cell>
          <cell r="CF177" t="str">
            <v>ООО "Гранд"</v>
          </cell>
          <cell r="CG177">
            <v>65</v>
          </cell>
          <cell r="CH177">
            <v>5</v>
          </cell>
          <cell r="CI177">
            <v>5</v>
          </cell>
          <cell r="CJ177">
            <v>5</v>
          </cell>
          <cell r="CK177">
            <v>0</v>
          </cell>
          <cell r="CL177">
            <v>1</v>
          </cell>
          <cell r="CM177">
            <v>71</v>
          </cell>
          <cell r="CN177">
            <v>271.10000000000002</v>
          </cell>
          <cell r="CO177">
            <v>271.10000000000002</v>
          </cell>
          <cell r="CP177">
            <v>895.3</v>
          </cell>
          <cell r="CQ177">
            <v>895.2998046875</v>
          </cell>
          <cell r="CR177">
            <v>895.2998046875</v>
          </cell>
          <cell r="CS177">
            <v>1</v>
          </cell>
          <cell r="CT177">
            <v>70</v>
          </cell>
          <cell r="CU177">
            <v>0</v>
          </cell>
          <cell r="CV177">
            <v>59</v>
          </cell>
          <cell r="CW177">
            <v>60</v>
          </cell>
          <cell r="CX177">
            <v>1</v>
          </cell>
          <cell r="CY177">
            <v>1</v>
          </cell>
          <cell r="CZ177">
            <v>13121</v>
          </cell>
          <cell r="DA177" t="str">
            <v>Демский</v>
          </cell>
          <cell r="DB177" t="str">
            <v>3.Сборные ж/б панели</v>
          </cell>
          <cell r="DC177">
            <v>13121</v>
          </cell>
          <cell r="DD177">
            <v>13121</v>
          </cell>
          <cell r="DE177">
            <v>13121</v>
          </cell>
          <cell r="DF177">
            <v>13121</v>
          </cell>
          <cell r="DG177">
            <v>13121</v>
          </cell>
          <cell r="DH177">
            <v>13121</v>
          </cell>
          <cell r="DI177">
            <v>13121</v>
          </cell>
          <cell r="DJ177">
            <v>13121</v>
          </cell>
          <cell r="DK177">
            <v>13121</v>
          </cell>
          <cell r="DL177">
            <v>13121</v>
          </cell>
          <cell r="DM177">
            <v>5966151</v>
          </cell>
          <cell r="DN177">
            <v>1</v>
          </cell>
          <cell r="DO177" t="str">
            <v>Отопление</v>
          </cell>
          <cell r="DP177" t="str">
            <v>УЖХ</v>
          </cell>
          <cell r="DQ177">
            <v>38782</v>
          </cell>
          <cell r="DR177">
            <v>0</v>
          </cell>
          <cell r="DS177">
            <v>70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 t="str">
            <v>4. Независимая схема</v>
          </cell>
          <cell r="EE177" t="str">
            <v>Нижний</v>
          </cell>
          <cell r="EF177">
            <v>0</v>
          </cell>
          <cell r="EG177">
            <v>0</v>
          </cell>
          <cell r="EH177">
            <v>100</v>
          </cell>
          <cell r="EI177">
            <v>2187</v>
          </cell>
          <cell r="EJ177">
            <v>549.29999999999995</v>
          </cell>
          <cell r="EK177">
            <v>611.5</v>
          </cell>
          <cell r="EL177">
            <v>30</v>
          </cell>
          <cell r="EM177">
            <v>119</v>
          </cell>
          <cell r="EN177">
            <v>1</v>
          </cell>
          <cell r="EO177">
            <v>1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T177">
            <v>0</v>
          </cell>
          <cell r="EU177">
            <v>0</v>
          </cell>
          <cell r="EV177">
            <v>0</v>
          </cell>
          <cell r="EW177">
            <v>8</v>
          </cell>
          <cell r="EX177">
            <v>1</v>
          </cell>
          <cell r="EY177">
            <v>1</v>
          </cell>
          <cell r="EZ177">
            <v>0</v>
          </cell>
          <cell r="FA177">
            <v>0</v>
          </cell>
          <cell r="FB177">
            <v>0</v>
          </cell>
          <cell r="FC177">
            <v>0</v>
          </cell>
          <cell r="FD177">
            <v>0</v>
          </cell>
          <cell r="FE177">
            <v>0</v>
          </cell>
          <cell r="FF177">
            <v>18.010000000000002</v>
          </cell>
          <cell r="FG177">
            <v>2</v>
          </cell>
          <cell r="FH177">
            <v>2</v>
          </cell>
          <cell r="FI177">
            <v>43868</v>
          </cell>
          <cell r="FJ177">
            <v>15477</v>
          </cell>
          <cell r="FK177">
            <v>15477</v>
          </cell>
          <cell r="FL177">
            <v>4244.7</v>
          </cell>
          <cell r="FM177">
            <v>78.92</v>
          </cell>
          <cell r="FN177">
            <v>1890.7</v>
          </cell>
          <cell r="FO177">
            <v>5672.1</v>
          </cell>
        </row>
        <row r="178">
          <cell r="AI178" t="str">
            <v>Ул. Правды дом 37/1</v>
          </cell>
          <cell r="AJ178">
            <v>5672.09765625</v>
          </cell>
          <cell r="AK178">
            <v>8789.1</v>
          </cell>
          <cell r="AL178">
            <v>5265.9</v>
          </cell>
          <cell r="AM178">
            <v>4</v>
          </cell>
          <cell r="AN178">
            <v>4</v>
          </cell>
          <cell r="AO178" t="str">
            <v>АО УЖХ Демского района</v>
          </cell>
          <cell r="AP178">
            <v>8568.1</v>
          </cell>
          <cell r="AQ178">
            <v>226</v>
          </cell>
          <cell r="AR178">
            <v>498.3</v>
          </cell>
          <cell r="AS178">
            <v>533.20000000000005</v>
          </cell>
          <cell r="AT178">
            <v>160</v>
          </cell>
          <cell r="AU178">
            <v>9</v>
          </cell>
          <cell r="AV178">
            <v>368</v>
          </cell>
          <cell r="AW178">
            <v>0</v>
          </cell>
          <cell r="AX178" t="str">
            <v>отказ от услуги</v>
          </cell>
          <cell r="AY178">
            <v>0</v>
          </cell>
          <cell r="AZ178">
            <v>1617.6</v>
          </cell>
          <cell r="BA178">
            <v>4981.6000000000004</v>
          </cell>
          <cell r="BB178">
            <v>4981.59765625</v>
          </cell>
          <cell r="BC178" t="str">
            <v>Управляющая компания</v>
          </cell>
          <cell r="BD178" t="str">
            <v>1. Жилой дом</v>
          </cell>
          <cell r="BE178">
            <v>24.6</v>
          </cell>
          <cell r="BF178" t="str">
            <v>1.Оцинкованный</v>
          </cell>
          <cell r="BG178" t="str">
            <v>1.Оцинкованный</v>
          </cell>
          <cell r="BH178" t="str">
            <v>3.Водяной</v>
          </cell>
          <cell r="BI178" t="str">
            <v>МУП УИС</v>
          </cell>
          <cell r="BJ178" t="str">
            <v>1. Чугун</v>
          </cell>
          <cell r="BK178">
            <v>4</v>
          </cell>
          <cell r="BL178" t="str">
            <v>2.Кирпич</v>
          </cell>
          <cell r="BM178">
            <v>33970</v>
          </cell>
          <cell r="BN178">
            <v>33970</v>
          </cell>
          <cell r="BO178" t="str">
            <v>Оборудован</v>
          </cell>
          <cell r="BP178" t="str">
            <v>4.Мягк/рулонная</v>
          </cell>
          <cell r="BQ178" t="str">
            <v>2.Плоская</v>
          </cell>
          <cell r="BR178">
            <v>1845.8</v>
          </cell>
          <cell r="BS178">
            <v>1321</v>
          </cell>
          <cell r="BT178">
            <v>1321</v>
          </cell>
          <cell r="BU178">
            <v>1321</v>
          </cell>
          <cell r="BV178">
            <v>0</v>
          </cell>
          <cell r="BW178" t="str">
            <v>3.Частный жилищный фонд</v>
          </cell>
          <cell r="BX178">
            <v>160</v>
          </cell>
          <cell r="BY178">
            <v>160</v>
          </cell>
          <cell r="BZ178" t="str">
            <v>2-я</v>
          </cell>
          <cell r="CA178">
            <v>1</v>
          </cell>
          <cell r="CB178">
            <v>27.01</v>
          </cell>
          <cell r="CC178">
            <v>27.009994506835938</v>
          </cell>
          <cell r="CD178">
            <v>8794.1</v>
          </cell>
          <cell r="CE178">
            <v>8794.09375</v>
          </cell>
          <cell r="CF178" t="str">
            <v>ООО "Гранд"</v>
          </cell>
          <cell r="CG178">
            <v>156</v>
          </cell>
          <cell r="CH178">
            <v>4</v>
          </cell>
          <cell r="CI178">
            <v>4</v>
          </cell>
          <cell r="CJ178">
            <v>4</v>
          </cell>
          <cell r="CK178">
            <v>2</v>
          </cell>
          <cell r="CL178">
            <v>1</v>
          </cell>
          <cell r="CM178">
            <v>164</v>
          </cell>
          <cell r="CN178">
            <v>1031.5</v>
          </cell>
          <cell r="CO178">
            <v>1031.5</v>
          </cell>
          <cell r="CP178">
            <v>2352.5</v>
          </cell>
          <cell r="CQ178">
            <v>2352.5</v>
          </cell>
          <cell r="CR178">
            <v>2352.5</v>
          </cell>
          <cell r="CS178">
            <v>1</v>
          </cell>
          <cell r="CT178">
            <v>160</v>
          </cell>
          <cell r="CU178">
            <v>0</v>
          </cell>
          <cell r="CV178">
            <v>145</v>
          </cell>
          <cell r="CW178">
            <v>151</v>
          </cell>
          <cell r="CX178">
            <v>1</v>
          </cell>
          <cell r="CY178">
            <v>1</v>
          </cell>
          <cell r="CZ178">
            <v>41654</v>
          </cell>
          <cell r="DA178" t="str">
            <v>Демский</v>
          </cell>
          <cell r="DB178" t="str">
            <v>3.Сборные ж/б панели</v>
          </cell>
          <cell r="DC178">
            <v>41654</v>
          </cell>
          <cell r="DD178">
            <v>41654</v>
          </cell>
          <cell r="DE178">
            <v>41654</v>
          </cell>
          <cell r="DF178">
            <v>41654</v>
          </cell>
          <cell r="DG178">
            <v>41654</v>
          </cell>
          <cell r="DH178">
            <v>41654</v>
          </cell>
          <cell r="DI178">
            <v>41654</v>
          </cell>
          <cell r="DJ178" t="str">
            <v>АО УЖХ Демского района</v>
          </cell>
          <cell r="DK178">
            <v>41654</v>
          </cell>
          <cell r="DL178">
            <v>41654</v>
          </cell>
          <cell r="DM178">
            <v>22850340</v>
          </cell>
          <cell r="DN178">
            <v>2</v>
          </cell>
          <cell r="DO178" t="str">
            <v>ГВС</v>
          </cell>
          <cell r="DP178" t="str">
            <v>УЖХ</v>
          </cell>
          <cell r="DQ178">
            <v>34151</v>
          </cell>
          <cell r="DR178">
            <v>0</v>
          </cell>
          <cell r="DS178">
            <v>0</v>
          </cell>
          <cell r="DT178">
            <v>160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 t="str">
            <v>4. Независимая схема</v>
          </cell>
          <cell r="EE178" t="str">
            <v>Нижний</v>
          </cell>
          <cell r="EF178">
            <v>0</v>
          </cell>
          <cell r="EG178">
            <v>0</v>
          </cell>
          <cell r="EH178">
            <v>0</v>
          </cell>
          <cell r="EI178">
            <v>4506.6000000000004</v>
          </cell>
          <cell r="EJ178">
            <v>280.5</v>
          </cell>
          <cell r="EK178">
            <v>1034.3</v>
          </cell>
          <cell r="EL178">
            <v>20</v>
          </cell>
          <cell r="EM178">
            <v>193.5</v>
          </cell>
          <cell r="EN178">
            <v>2</v>
          </cell>
          <cell r="EO178">
            <v>2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475</v>
          </cell>
          <cell r="EV178">
            <v>1</v>
          </cell>
          <cell r="EW178">
            <v>19.8</v>
          </cell>
          <cell r="EX178">
            <v>1</v>
          </cell>
          <cell r="EY178">
            <v>1</v>
          </cell>
          <cell r="EZ178">
            <v>0</v>
          </cell>
          <cell r="FA178">
            <v>69.5</v>
          </cell>
          <cell r="FB178">
            <v>1</v>
          </cell>
          <cell r="FC178">
            <v>1</v>
          </cell>
          <cell r="FD178">
            <v>0</v>
          </cell>
          <cell r="FE178">
            <v>0</v>
          </cell>
          <cell r="FF178">
            <v>19.66</v>
          </cell>
          <cell r="FG178">
            <v>2</v>
          </cell>
          <cell r="FH178">
            <v>2</v>
          </cell>
          <cell r="FI178">
            <v>43739</v>
          </cell>
          <cell r="FJ178">
            <v>15477</v>
          </cell>
          <cell r="FK178">
            <v>15477</v>
          </cell>
          <cell r="FL178">
            <v>11141.6</v>
          </cell>
          <cell r="FM178">
            <v>78.92</v>
          </cell>
          <cell r="FN178">
            <v>4321.6000000000004</v>
          </cell>
          <cell r="FO178">
            <v>12964.800000000001</v>
          </cell>
        </row>
        <row r="179">
          <cell r="AI179" t="str">
            <v>Ул. Правды дом 15</v>
          </cell>
          <cell r="AJ179">
            <v>12964.796875</v>
          </cell>
          <cell r="AK179">
            <v>4020.8</v>
          </cell>
          <cell r="AL179">
            <v>2519.6999999999998</v>
          </cell>
          <cell r="AM179">
            <v>2</v>
          </cell>
          <cell r="AN179">
            <v>2</v>
          </cell>
          <cell r="AO179" t="str">
            <v>АО УЖХ Демского района</v>
          </cell>
          <cell r="AP179">
            <v>3862.2</v>
          </cell>
          <cell r="AQ179">
            <v>155.6</v>
          </cell>
          <cell r="AR179">
            <v>285.7</v>
          </cell>
          <cell r="AS179">
            <v>256.3</v>
          </cell>
          <cell r="AT179">
            <v>74</v>
          </cell>
          <cell r="AU179">
            <v>10</v>
          </cell>
          <cell r="AV179">
            <v>189</v>
          </cell>
          <cell r="AW179">
            <v>0</v>
          </cell>
          <cell r="AX179" t="str">
            <v>отказ от услуги</v>
          </cell>
          <cell r="AY179">
            <v>725.3</v>
          </cell>
          <cell r="AZ179">
            <v>1369.8</v>
          </cell>
          <cell r="BA179">
            <v>1505.1</v>
          </cell>
          <cell r="BB179">
            <v>1505.099609375</v>
          </cell>
          <cell r="BC179" t="str">
            <v>Управляющая компания</v>
          </cell>
          <cell r="BD179" t="str">
            <v>1. Жилой дом</v>
          </cell>
          <cell r="BE179">
            <v>20.82</v>
          </cell>
          <cell r="BF179" t="str">
            <v>2.Чёрный</v>
          </cell>
          <cell r="BG179" t="str">
            <v>1.Оцинкованный</v>
          </cell>
          <cell r="BH179" t="str">
            <v>3.Водяной</v>
          </cell>
          <cell r="BI179" t="str">
            <v>МУП УИС</v>
          </cell>
          <cell r="BJ179" t="str">
            <v>1. Чугун</v>
          </cell>
          <cell r="BK179">
            <v>2</v>
          </cell>
          <cell r="BL179" t="str">
            <v>2.Кирпич</v>
          </cell>
          <cell r="BM179">
            <v>34335</v>
          </cell>
          <cell r="BN179">
            <v>34335</v>
          </cell>
          <cell r="BO179" t="str">
            <v>Оборудован</v>
          </cell>
          <cell r="BP179" t="str">
            <v>4.Мягк/рулонная</v>
          </cell>
          <cell r="BQ179" t="str">
            <v>2.Плоская</v>
          </cell>
          <cell r="BR179">
            <v>783</v>
          </cell>
          <cell r="BS179">
            <v>355.6</v>
          </cell>
          <cell r="BT179">
            <v>92.7</v>
          </cell>
          <cell r="BU179">
            <v>1111</v>
          </cell>
          <cell r="BV179">
            <v>1111</v>
          </cell>
          <cell r="BW179" t="str">
            <v>3.Частный жилищный фонд</v>
          </cell>
          <cell r="BX179">
            <v>74</v>
          </cell>
          <cell r="BY179">
            <v>0</v>
          </cell>
          <cell r="BZ179" t="str">
            <v>1-я</v>
          </cell>
          <cell r="CA179">
            <v>1</v>
          </cell>
          <cell r="CB179">
            <v>27.01</v>
          </cell>
          <cell r="CC179">
            <v>27.009994506835938</v>
          </cell>
          <cell r="CD179">
            <v>4082.9</v>
          </cell>
          <cell r="CE179">
            <v>4082.8984375</v>
          </cell>
          <cell r="CF179" t="str">
            <v>ООО "Гранд"</v>
          </cell>
          <cell r="CG179">
            <v>71</v>
          </cell>
          <cell r="CH179">
            <v>3</v>
          </cell>
          <cell r="CI179">
            <v>3</v>
          </cell>
          <cell r="CJ179" t="str">
            <v>не предусмотрено проектом</v>
          </cell>
          <cell r="CK179">
            <v>0</v>
          </cell>
          <cell r="CL179">
            <v>1</v>
          </cell>
          <cell r="CM179">
            <v>74</v>
          </cell>
          <cell r="CN179">
            <v>542</v>
          </cell>
          <cell r="CO179">
            <v>542</v>
          </cell>
          <cell r="CP179">
            <v>1915.9</v>
          </cell>
          <cell r="CQ179">
            <v>1915.8994140625</v>
          </cell>
          <cell r="CR179">
            <v>1915.8994140625</v>
          </cell>
          <cell r="CS179">
            <v>1</v>
          </cell>
          <cell r="CT179">
            <v>74</v>
          </cell>
          <cell r="CU179">
            <v>0</v>
          </cell>
          <cell r="CV179">
            <v>69</v>
          </cell>
          <cell r="CW179">
            <v>57</v>
          </cell>
          <cell r="CX179">
            <v>1</v>
          </cell>
          <cell r="CY179">
            <v>1</v>
          </cell>
          <cell r="CZ179">
            <v>22317</v>
          </cell>
          <cell r="DA179" t="str">
            <v>Демский</v>
          </cell>
          <cell r="DB179" t="str">
            <v>3.Сборные ж/б панели</v>
          </cell>
          <cell r="DC179">
            <v>22317</v>
          </cell>
          <cell r="DD179">
            <v>1</v>
          </cell>
          <cell r="DE179">
            <v>13367</v>
          </cell>
          <cell r="DF179" t="str">
            <v>Пластинчатый</v>
          </cell>
          <cell r="DG179" t="str">
            <v>ГВС</v>
          </cell>
          <cell r="DH179" t="str">
            <v>АНО ЦЭС ЮГ</v>
          </cell>
          <cell r="DI179">
            <v>13367</v>
          </cell>
          <cell r="DJ179" t="str">
            <v>АО УЖХ Демского района</v>
          </cell>
          <cell r="DK179">
            <v>13367</v>
          </cell>
          <cell r="DL179">
            <v>13367</v>
          </cell>
          <cell r="DM179">
            <v>10026383</v>
          </cell>
          <cell r="DN179">
            <v>1</v>
          </cell>
          <cell r="DO179" t="str">
            <v>ГВС</v>
          </cell>
          <cell r="DP179" t="str">
            <v>УЖХ</v>
          </cell>
          <cell r="DQ179">
            <v>39870</v>
          </cell>
          <cell r="DR179">
            <v>0</v>
          </cell>
          <cell r="DS179">
            <v>0</v>
          </cell>
          <cell r="DT179">
            <v>74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 t="str">
            <v>3.Зависимая схема</v>
          </cell>
          <cell r="EE179" t="str">
            <v>Нижний</v>
          </cell>
          <cell r="EF179">
            <v>0</v>
          </cell>
          <cell r="EG179">
            <v>0</v>
          </cell>
          <cell r="EH179">
            <v>0</v>
          </cell>
          <cell r="EI179">
            <v>1355.1</v>
          </cell>
          <cell r="EJ179">
            <v>459.8</v>
          </cell>
          <cell r="EK179">
            <v>674</v>
          </cell>
          <cell r="EL179">
            <v>90</v>
          </cell>
          <cell r="EM179">
            <v>86</v>
          </cell>
          <cell r="EN179">
            <v>2</v>
          </cell>
          <cell r="EO179">
            <v>2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150</v>
          </cell>
          <cell r="EV179">
            <v>1</v>
          </cell>
          <cell r="EW179">
            <v>10</v>
          </cell>
          <cell r="EX179">
            <v>1</v>
          </cell>
          <cell r="EY179">
            <v>1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19.690000000000001</v>
          </cell>
          <cell r="FG179">
            <v>19.689987182617188</v>
          </cell>
          <cell r="FH179">
            <v>19.689987182617188</v>
          </cell>
          <cell r="FI179">
            <v>43466</v>
          </cell>
          <cell r="FJ179">
            <v>15477</v>
          </cell>
          <cell r="FK179">
            <v>15477</v>
          </cell>
          <cell r="FL179">
            <v>5551</v>
          </cell>
          <cell r="FM179">
            <v>78.92</v>
          </cell>
          <cell r="FN179">
            <v>1998.74</v>
          </cell>
          <cell r="FO179">
            <v>5996.22</v>
          </cell>
        </row>
        <row r="180">
          <cell r="AI180" t="str">
            <v>Ул. Правды дом 18</v>
          </cell>
          <cell r="AJ180">
            <v>5996.21875</v>
          </cell>
          <cell r="AK180">
            <v>7461.5</v>
          </cell>
          <cell r="AL180">
            <v>4967.6000000000004</v>
          </cell>
          <cell r="AM180">
            <v>11</v>
          </cell>
          <cell r="AN180">
            <v>11</v>
          </cell>
          <cell r="AO180" t="str">
            <v>АО УЖХ Демского района</v>
          </cell>
          <cell r="AP180">
            <v>7276.3</v>
          </cell>
          <cell r="AQ180">
            <v>185</v>
          </cell>
          <cell r="AR180">
            <v>739.4</v>
          </cell>
          <cell r="AS180">
            <v>151.9</v>
          </cell>
          <cell r="AT180">
            <v>154</v>
          </cell>
          <cell r="AU180">
            <v>5</v>
          </cell>
          <cell r="AV180">
            <v>376</v>
          </cell>
          <cell r="AW180">
            <v>0</v>
          </cell>
          <cell r="AX180">
            <v>0</v>
          </cell>
          <cell r="AY180">
            <v>2445.1999999999998</v>
          </cell>
          <cell r="AZ180">
            <v>3853.9</v>
          </cell>
          <cell r="BA180">
            <v>2866.02</v>
          </cell>
          <cell r="BB180">
            <v>2866.01953125</v>
          </cell>
          <cell r="BC180" t="str">
            <v>Управляющая компания</v>
          </cell>
          <cell r="BD180" t="str">
            <v>1. Жилой дом</v>
          </cell>
          <cell r="BE180">
            <v>38.200000000000003</v>
          </cell>
          <cell r="BF180" t="str">
            <v>2.Чёрный</v>
          </cell>
          <cell r="BG180">
            <v>38.199981689453125</v>
          </cell>
          <cell r="BH180" t="str">
            <v>3.Водяной</v>
          </cell>
          <cell r="BI180" t="str">
            <v>МУП УИС</v>
          </cell>
          <cell r="BJ180" t="str">
            <v>1. Чугун</v>
          </cell>
          <cell r="BK180">
            <v>38.199981689453125</v>
          </cell>
          <cell r="BL180" t="str">
            <v>2.Кирпич</v>
          </cell>
          <cell r="BM180">
            <v>27760</v>
          </cell>
          <cell r="BN180">
            <v>154</v>
          </cell>
          <cell r="BO180" t="str">
            <v>Оборудован</v>
          </cell>
          <cell r="BP180" t="str">
            <v>4.Мягк/рулонная</v>
          </cell>
          <cell r="BQ180" t="str">
            <v>2.Плоская</v>
          </cell>
          <cell r="BR180">
            <v>3266</v>
          </cell>
          <cell r="BS180">
            <v>2752.7</v>
          </cell>
          <cell r="BT180">
            <v>193.7</v>
          </cell>
          <cell r="BU180">
            <v>193.699951171875</v>
          </cell>
          <cell r="BV180">
            <v>0</v>
          </cell>
          <cell r="BW180" t="str">
            <v>3.Частный жилищный фонд</v>
          </cell>
          <cell r="BX180">
            <v>154</v>
          </cell>
          <cell r="BY180">
            <v>0</v>
          </cell>
          <cell r="BZ180" t="str">
            <v>2-я</v>
          </cell>
          <cell r="CA180">
            <v>1</v>
          </cell>
          <cell r="CB180">
            <v>27.01</v>
          </cell>
          <cell r="CC180">
            <v>1</v>
          </cell>
          <cell r="CD180">
            <v>1</v>
          </cell>
          <cell r="CE180">
            <v>7461.3</v>
          </cell>
          <cell r="CF180" t="str">
            <v>ООО "Сфера"</v>
          </cell>
          <cell r="CG180">
            <v>150</v>
          </cell>
          <cell r="CH180">
            <v>4</v>
          </cell>
          <cell r="CI180">
            <v>4</v>
          </cell>
          <cell r="CJ180">
            <v>4</v>
          </cell>
          <cell r="CK180">
            <v>3</v>
          </cell>
          <cell r="CL180">
            <v>3</v>
          </cell>
          <cell r="CM180">
            <v>154</v>
          </cell>
          <cell r="CN180">
            <v>891.3</v>
          </cell>
          <cell r="CO180">
            <v>0</v>
          </cell>
          <cell r="CP180">
            <v>3450.3</v>
          </cell>
          <cell r="CQ180">
            <v>3450.298828125</v>
          </cell>
          <cell r="CR180">
            <v>3450.298828125</v>
          </cell>
          <cell r="CS180">
            <v>3</v>
          </cell>
          <cell r="CT180">
            <v>154</v>
          </cell>
          <cell r="CU180">
            <v>0</v>
          </cell>
          <cell r="CV180">
            <v>127</v>
          </cell>
          <cell r="CW180">
            <v>0</v>
          </cell>
          <cell r="CX180">
            <v>3</v>
          </cell>
          <cell r="CY180">
            <v>3</v>
          </cell>
          <cell r="CZ180">
            <v>49563</v>
          </cell>
          <cell r="DA180" t="str">
            <v>Демский</v>
          </cell>
          <cell r="DB180" t="str">
            <v>3.Сборные ж/б панели</v>
          </cell>
          <cell r="DC180">
            <v>49563</v>
          </cell>
          <cell r="DD180">
            <v>49563</v>
          </cell>
          <cell r="DE180">
            <v>49563</v>
          </cell>
          <cell r="DF180">
            <v>49563</v>
          </cell>
          <cell r="DG180">
            <v>49563</v>
          </cell>
          <cell r="DH180">
            <v>49563</v>
          </cell>
          <cell r="DI180">
            <v>49563</v>
          </cell>
          <cell r="DJ180">
            <v>49563</v>
          </cell>
          <cell r="DK180">
            <v>0</v>
          </cell>
          <cell r="DL180">
            <v>0</v>
          </cell>
          <cell r="DM180">
            <v>12195022</v>
          </cell>
          <cell r="DN180">
            <v>3</v>
          </cell>
          <cell r="DO180" t="str">
            <v>Отопление</v>
          </cell>
          <cell r="DP180" t="str">
            <v>УЖХ</v>
          </cell>
          <cell r="DQ180">
            <v>40463</v>
          </cell>
          <cell r="DR180">
            <v>0</v>
          </cell>
          <cell r="DS180">
            <v>154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0</v>
          </cell>
          <cell r="EC180">
            <v>0</v>
          </cell>
          <cell r="ED180" t="str">
            <v>3.Зависимая схема</v>
          </cell>
          <cell r="EE180" t="str">
            <v>Нижний</v>
          </cell>
          <cell r="EF180">
            <v>0</v>
          </cell>
          <cell r="EG180">
            <v>0</v>
          </cell>
          <cell r="EH180">
            <v>0</v>
          </cell>
          <cell r="EI180">
            <v>856.02</v>
          </cell>
          <cell r="EJ180">
            <v>2079.9</v>
          </cell>
          <cell r="EK180">
            <v>1378.9</v>
          </cell>
          <cell r="EL180">
            <v>170</v>
          </cell>
          <cell r="EM180">
            <v>178.5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T180">
            <v>0</v>
          </cell>
          <cell r="EU180">
            <v>2010</v>
          </cell>
          <cell r="EV180">
            <v>1</v>
          </cell>
          <cell r="EW180">
            <v>1</v>
          </cell>
          <cell r="EX180">
            <v>0</v>
          </cell>
          <cell r="EY180">
            <v>0</v>
          </cell>
          <cell r="EZ180">
            <v>0</v>
          </cell>
          <cell r="FA180">
            <v>46.6</v>
          </cell>
          <cell r="FB180">
            <v>1</v>
          </cell>
          <cell r="FC180">
            <v>1</v>
          </cell>
          <cell r="FD180">
            <v>0</v>
          </cell>
          <cell r="FE180">
            <v>0</v>
          </cell>
          <cell r="FF180">
            <v>15.48</v>
          </cell>
          <cell r="FG180">
            <v>15.479995727539063</v>
          </cell>
          <cell r="FH180">
            <v>15.479995727539063</v>
          </cell>
          <cell r="FI180">
            <v>44713</v>
          </cell>
          <cell r="FJ180">
            <v>15477</v>
          </cell>
          <cell r="FK180">
            <v>15477</v>
          </cell>
          <cell r="FL180">
            <v>13357</v>
          </cell>
          <cell r="FM180">
            <v>78.92</v>
          </cell>
          <cell r="FN180">
            <v>16313.220000000001</v>
          </cell>
          <cell r="FO180">
            <v>48939.66</v>
          </cell>
        </row>
        <row r="181">
          <cell r="AI181" t="str">
            <v>Ул. Правды дом 18/1</v>
          </cell>
          <cell r="AJ181">
            <v>48939.65625</v>
          </cell>
          <cell r="AK181">
            <v>3575.9</v>
          </cell>
          <cell r="AL181">
            <v>2541.8000000000002</v>
          </cell>
          <cell r="AM181">
            <v>4</v>
          </cell>
          <cell r="AN181">
            <v>4</v>
          </cell>
          <cell r="AO181" t="str">
            <v>АО УЖХ Демского района</v>
          </cell>
          <cell r="AP181">
            <v>3575.1</v>
          </cell>
          <cell r="AQ181">
            <v>0</v>
          </cell>
          <cell r="AR181">
            <v>272.39999999999998</v>
          </cell>
          <cell r="AS181">
            <v>5.6</v>
          </cell>
          <cell r="AT181">
            <v>80</v>
          </cell>
          <cell r="AU181">
            <v>5</v>
          </cell>
          <cell r="AV181">
            <v>172</v>
          </cell>
          <cell r="AW181">
            <v>0</v>
          </cell>
          <cell r="AX181">
            <v>0</v>
          </cell>
          <cell r="AY181">
            <v>0</v>
          </cell>
          <cell r="AZ181">
            <v>967.9</v>
          </cell>
          <cell r="BA181">
            <v>3297.6</v>
          </cell>
          <cell r="BB181">
            <v>3297.599609375</v>
          </cell>
          <cell r="BC181" t="str">
            <v>Управляющая компания</v>
          </cell>
          <cell r="BD181" t="str">
            <v>1. Жилой дом</v>
          </cell>
          <cell r="BE181">
            <v>42.2</v>
          </cell>
          <cell r="BF181" t="str">
            <v>2.Чёрный</v>
          </cell>
          <cell r="BG181">
            <v>42.199981689453125</v>
          </cell>
          <cell r="BH181" t="str">
            <v>3.Водяной</v>
          </cell>
          <cell r="BI181" t="str">
            <v>МУП УИС</v>
          </cell>
          <cell r="BJ181" t="str">
            <v>1. Чугун</v>
          </cell>
          <cell r="BK181">
            <v>42.199981689453125</v>
          </cell>
          <cell r="BL181" t="str">
            <v>8.Сборные ж/б</v>
          </cell>
          <cell r="BM181">
            <v>25934</v>
          </cell>
          <cell r="BN181">
            <v>80</v>
          </cell>
          <cell r="BO181" t="str">
            <v>Оборудован</v>
          </cell>
          <cell r="BP181" t="str">
            <v>8.Профнастил</v>
          </cell>
          <cell r="BQ181" t="str">
            <v>1.Скатная</v>
          </cell>
          <cell r="BR181">
            <v>1136</v>
          </cell>
          <cell r="BS181">
            <v>874.2</v>
          </cell>
          <cell r="BT181">
            <v>874.19970703125</v>
          </cell>
          <cell r="BU181">
            <v>874.19970703125</v>
          </cell>
          <cell r="BV181">
            <v>0</v>
          </cell>
          <cell r="BW181" t="str">
            <v>3.Частный жилищный фонд</v>
          </cell>
          <cell r="BX181">
            <v>80</v>
          </cell>
          <cell r="BY181">
            <v>0</v>
          </cell>
          <cell r="BZ181" t="str">
            <v>2-я</v>
          </cell>
          <cell r="CA181">
            <v>1</v>
          </cell>
          <cell r="CB181">
            <v>27.01</v>
          </cell>
          <cell r="CC181">
            <v>1</v>
          </cell>
          <cell r="CD181">
            <v>1</v>
          </cell>
          <cell r="CE181">
            <v>3575.1</v>
          </cell>
          <cell r="CF181" t="str">
            <v>ООО "Сфера"</v>
          </cell>
          <cell r="CG181">
            <v>80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1</v>
          </cell>
          <cell r="CM181">
            <v>80</v>
          </cell>
          <cell r="CN181">
            <v>278</v>
          </cell>
          <cell r="CO181">
            <v>0</v>
          </cell>
          <cell r="CP181">
            <v>1152.2</v>
          </cell>
          <cell r="CQ181">
            <v>1152.19921875</v>
          </cell>
          <cell r="CR181">
            <v>1152.19921875</v>
          </cell>
          <cell r="CS181">
            <v>1</v>
          </cell>
          <cell r="CT181">
            <v>80</v>
          </cell>
          <cell r="CU181">
            <v>0</v>
          </cell>
          <cell r="CV181">
            <v>71</v>
          </cell>
          <cell r="CW181">
            <v>0</v>
          </cell>
          <cell r="CX181">
            <v>1</v>
          </cell>
          <cell r="CY181">
            <v>1</v>
          </cell>
          <cell r="CZ181">
            <v>12370</v>
          </cell>
          <cell r="DA181" t="str">
            <v>Демский</v>
          </cell>
          <cell r="DB181" t="str">
            <v>3.Сборные ж/б панели</v>
          </cell>
          <cell r="DC181">
            <v>12370</v>
          </cell>
          <cell r="DD181">
            <v>12370</v>
          </cell>
          <cell r="DE181">
            <v>12370</v>
          </cell>
          <cell r="DF181">
            <v>12370</v>
          </cell>
          <cell r="DG181">
            <v>12370</v>
          </cell>
          <cell r="DH181">
            <v>12370</v>
          </cell>
          <cell r="DI181">
            <v>12370</v>
          </cell>
          <cell r="DJ181">
            <v>12370</v>
          </cell>
          <cell r="DK181">
            <v>0</v>
          </cell>
          <cell r="DL181">
            <v>0</v>
          </cell>
          <cell r="DM181">
            <v>5221454</v>
          </cell>
          <cell r="DN181">
            <v>2</v>
          </cell>
          <cell r="DO181" t="str">
            <v>Отопление</v>
          </cell>
          <cell r="DP181" t="str">
            <v>УЖХ</v>
          </cell>
          <cell r="DQ181">
            <v>38880</v>
          </cell>
          <cell r="DR181">
            <v>0</v>
          </cell>
          <cell r="DS181">
            <v>80</v>
          </cell>
          <cell r="DT181">
            <v>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DY181">
            <v>0</v>
          </cell>
          <cell r="DZ181">
            <v>0</v>
          </cell>
          <cell r="EA181">
            <v>0</v>
          </cell>
          <cell r="EB181">
            <v>0</v>
          </cell>
          <cell r="EC181">
            <v>0</v>
          </cell>
          <cell r="ED181" t="str">
            <v>3.Зависимая схема</v>
          </cell>
          <cell r="EE181" t="str">
            <v>Нижний</v>
          </cell>
          <cell r="EF181">
            <v>0</v>
          </cell>
          <cell r="EG181">
            <v>0</v>
          </cell>
          <cell r="EH181">
            <v>1373.6</v>
          </cell>
          <cell r="EI181">
            <v>1924</v>
          </cell>
          <cell r="EJ181">
            <v>1924</v>
          </cell>
          <cell r="EK181">
            <v>374.2</v>
          </cell>
          <cell r="EL181">
            <v>185.5</v>
          </cell>
          <cell r="EM181">
            <v>334.2</v>
          </cell>
          <cell r="EN181">
            <v>6</v>
          </cell>
          <cell r="EO181">
            <v>6</v>
          </cell>
          <cell r="EP181">
            <v>0</v>
          </cell>
          <cell r="EQ181">
            <v>0</v>
          </cell>
          <cell r="ER181">
            <v>0</v>
          </cell>
          <cell r="ES181">
            <v>0</v>
          </cell>
          <cell r="ET181">
            <v>0</v>
          </cell>
          <cell r="EU181">
            <v>0</v>
          </cell>
          <cell r="EV181">
            <v>0</v>
          </cell>
          <cell r="EW181">
            <v>24</v>
          </cell>
          <cell r="EX181">
            <v>1</v>
          </cell>
          <cell r="EY181">
            <v>1</v>
          </cell>
          <cell r="EZ181">
            <v>0</v>
          </cell>
          <cell r="FA181">
            <v>50</v>
          </cell>
          <cell r="FB181">
            <v>1</v>
          </cell>
          <cell r="FC181">
            <v>1</v>
          </cell>
          <cell r="FD181">
            <v>0</v>
          </cell>
          <cell r="FE181">
            <v>0</v>
          </cell>
          <cell r="FF181">
            <v>15.59</v>
          </cell>
          <cell r="FG181">
            <v>15.589996337890625</v>
          </cell>
          <cell r="FH181" t="str">
            <v>С УЛК (ЖЭУ)</v>
          </cell>
          <cell r="FI181">
            <v>43586</v>
          </cell>
          <cell r="FJ181">
            <v>15477</v>
          </cell>
          <cell r="FK181">
            <v>15477</v>
          </cell>
          <cell r="FL181">
            <v>4728.1000000000004</v>
          </cell>
          <cell r="FM181">
            <v>78.92</v>
          </cell>
          <cell r="FN181">
            <v>8474.4000000000015</v>
          </cell>
          <cell r="FO181">
            <v>25423.200000000004</v>
          </cell>
        </row>
        <row r="182">
          <cell r="AI182" t="str">
            <v>Ул. Правды дом 18/3</v>
          </cell>
          <cell r="AJ182">
            <v>25423.1875</v>
          </cell>
          <cell r="AK182">
            <v>4491</v>
          </cell>
          <cell r="AL182">
            <v>2992.3</v>
          </cell>
          <cell r="AM182">
            <v>6</v>
          </cell>
          <cell r="AN182">
            <v>6</v>
          </cell>
          <cell r="AO182" t="str">
            <v>АО УЖХ Демского района</v>
          </cell>
          <cell r="AP182">
            <v>4370.1000000000004</v>
          </cell>
          <cell r="AQ182">
            <v>120.2</v>
          </cell>
          <cell r="AR182">
            <v>402</v>
          </cell>
          <cell r="AS182">
            <v>11.1</v>
          </cell>
          <cell r="AT182">
            <v>94</v>
          </cell>
          <cell r="AU182">
            <v>5</v>
          </cell>
          <cell r="AV182">
            <v>202</v>
          </cell>
          <cell r="AW182">
            <v>0</v>
          </cell>
          <cell r="AX182">
            <v>0</v>
          </cell>
          <cell r="AY182">
            <v>919.5</v>
          </cell>
          <cell r="AZ182">
            <v>1754.5</v>
          </cell>
          <cell r="BA182">
            <v>2367.3000000000002</v>
          </cell>
          <cell r="BB182">
            <v>2367.298828125</v>
          </cell>
          <cell r="BC182" t="str">
            <v>Управляющая компания</v>
          </cell>
          <cell r="BD182" t="str">
            <v>1. Жилой дом</v>
          </cell>
          <cell r="BE182">
            <v>39</v>
          </cell>
          <cell r="BF182" t="str">
            <v>2.Чёрный</v>
          </cell>
          <cell r="BG182">
            <v>39</v>
          </cell>
          <cell r="BH182" t="str">
            <v>3.Водяной</v>
          </cell>
          <cell r="BI182" t="str">
            <v>МУП УИС</v>
          </cell>
          <cell r="BJ182" t="str">
            <v>1. Чугун</v>
          </cell>
          <cell r="BK182">
            <v>39</v>
          </cell>
          <cell r="BL182" t="str">
            <v>2.Кирпич</v>
          </cell>
          <cell r="BM182">
            <v>27395</v>
          </cell>
          <cell r="BN182">
            <v>94</v>
          </cell>
          <cell r="BO182" t="str">
            <v>Оборудован</v>
          </cell>
          <cell r="BP182" t="str">
            <v>4.Мягк/рулонная</v>
          </cell>
          <cell r="BQ182" t="str">
            <v>2.Плоская</v>
          </cell>
          <cell r="BR182">
            <v>1574.4</v>
          </cell>
          <cell r="BS182">
            <v>1431.3</v>
          </cell>
          <cell r="BT182">
            <v>1431.2998046875</v>
          </cell>
          <cell r="BU182">
            <v>840</v>
          </cell>
          <cell r="BV182">
            <v>840</v>
          </cell>
          <cell r="BW182" t="str">
            <v>3.Частный жилищный фонд</v>
          </cell>
          <cell r="BX182">
            <v>94</v>
          </cell>
          <cell r="BY182">
            <v>0</v>
          </cell>
          <cell r="BZ182" t="str">
            <v>2-я</v>
          </cell>
          <cell r="CA182">
            <v>1</v>
          </cell>
          <cell r="CB182">
            <v>27.01</v>
          </cell>
          <cell r="CC182">
            <v>1</v>
          </cell>
          <cell r="CD182">
            <v>1</v>
          </cell>
          <cell r="CE182">
            <v>4490.3</v>
          </cell>
          <cell r="CF182" t="str">
            <v>ООО "Сфера"</v>
          </cell>
          <cell r="CG182">
            <v>92</v>
          </cell>
          <cell r="CH182">
            <v>2</v>
          </cell>
          <cell r="CI182">
            <v>2</v>
          </cell>
          <cell r="CJ182">
            <v>2</v>
          </cell>
          <cell r="CK182">
            <v>0</v>
          </cell>
          <cell r="CL182">
            <v>1</v>
          </cell>
          <cell r="CM182">
            <v>98</v>
          </cell>
          <cell r="CN182">
            <v>413.1</v>
          </cell>
          <cell r="CO182">
            <v>0</v>
          </cell>
          <cell r="CP182">
            <v>2684.4</v>
          </cell>
          <cell r="CQ182">
            <v>2684.3984375</v>
          </cell>
          <cell r="CR182">
            <v>2684.3984375</v>
          </cell>
          <cell r="CS182">
            <v>2</v>
          </cell>
          <cell r="CT182">
            <v>94</v>
          </cell>
          <cell r="CU182">
            <v>0</v>
          </cell>
          <cell r="CV182">
            <v>70</v>
          </cell>
          <cell r="CW182">
            <v>0</v>
          </cell>
          <cell r="CX182">
            <v>2</v>
          </cell>
          <cell r="CY182">
            <v>2</v>
          </cell>
          <cell r="CZ182">
            <v>21698</v>
          </cell>
          <cell r="DA182" t="str">
            <v>Демский</v>
          </cell>
          <cell r="DB182" t="str">
            <v>3.Сборные ж/б панели</v>
          </cell>
          <cell r="DC182">
            <v>21698</v>
          </cell>
          <cell r="DD182">
            <v>21698</v>
          </cell>
          <cell r="DE182">
            <v>21698</v>
          </cell>
          <cell r="DF182">
            <v>21698</v>
          </cell>
          <cell r="DG182">
            <v>21698</v>
          </cell>
          <cell r="DH182">
            <v>21698</v>
          </cell>
          <cell r="DI182">
            <v>21698</v>
          </cell>
          <cell r="DJ182">
            <v>21698</v>
          </cell>
          <cell r="DK182">
            <v>0</v>
          </cell>
          <cell r="DL182">
            <v>0</v>
          </cell>
          <cell r="DM182">
            <v>11052737</v>
          </cell>
          <cell r="DN182">
            <v>4</v>
          </cell>
          <cell r="DO182" t="str">
            <v>Отопление</v>
          </cell>
          <cell r="DP182" t="str">
            <v>УЖХ</v>
          </cell>
          <cell r="DQ182">
            <v>40148</v>
          </cell>
          <cell r="DR182">
            <v>0</v>
          </cell>
          <cell r="DS182">
            <v>94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 t="str">
            <v>3.Зависимая схема</v>
          </cell>
          <cell r="EE182" t="str">
            <v>Нижний</v>
          </cell>
          <cell r="EF182">
            <v>0</v>
          </cell>
          <cell r="EG182">
            <v>0</v>
          </cell>
          <cell r="EH182">
            <v>1554.3</v>
          </cell>
          <cell r="EI182">
            <v>813</v>
          </cell>
          <cell r="EJ182">
            <v>394.6</v>
          </cell>
          <cell r="EK182">
            <v>596</v>
          </cell>
          <cell r="EL182">
            <v>519.29999999999995</v>
          </cell>
          <cell r="EM182">
            <v>178.6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66</v>
          </cell>
          <cell r="FB182">
            <v>1</v>
          </cell>
          <cell r="FC182">
            <v>1</v>
          </cell>
          <cell r="FD182">
            <v>0</v>
          </cell>
          <cell r="FE182">
            <v>0</v>
          </cell>
          <cell r="FF182">
            <v>15.65</v>
          </cell>
          <cell r="FG182">
            <v>15.649993896484375</v>
          </cell>
          <cell r="FH182" t="str">
            <v>С УЛК (ЖЭУ)</v>
          </cell>
          <cell r="FI182">
            <v>44652</v>
          </cell>
          <cell r="FJ182">
            <v>15477</v>
          </cell>
          <cell r="FK182">
            <v>15477</v>
          </cell>
          <cell r="FL182">
            <v>7254.9</v>
          </cell>
          <cell r="FM182">
            <v>78.92</v>
          </cell>
          <cell r="FN182">
            <v>9957.42</v>
          </cell>
          <cell r="FO182">
            <v>29872.260000000002</v>
          </cell>
        </row>
        <row r="183">
          <cell r="AI183" t="str">
            <v>Ул. Правды дом 20</v>
          </cell>
          <cell r="AJ183">
            <v>29872.25</v>
          </cell>
          <cell r="AK183">
            <v>5540.8</v>
          </cell>
          <cell r="AL183">
            <v>3779.8</v>
          </cell>
          <cell r="AM183">
            <v>8</v>
          </cell>
          <cell r="AN183">
            <v>8</v>
          </cell>
          <cell r="AO183" t="str">
            <v>АО УЖХ Демского района</v>
          </cell>
          <cell r="AP183">
            <v>5432.1</v>
          </cell>
          <cell r="AQ183">
            <v>103.7</v>
          </cell>
          <cell r="AR183">
            <v>519.20000000000005</v>
          </cell>
          <cell r="AS183">
            <v>16</v>
          </cell>
          <cell r="AT183">
            <v>112</v>
          </cell>
          <cell r="AU183">
            <v>5</v>
          </cell>
          <cell r="AV183">
            <v>256</v>
          </cell>
          <cell r="AW183">
            <v>0</v>
          </cell>
          <cell r="AX183">
            <v>0</v>
          </cell>
          <cell r="AY183">
            <v>2910.9</v>
          </cell>
          <cell r="AZ183">
            <v>2718.8</v>
          </cell>
          <cell r="BA183">
            <v>846.3</v>
          </cell>
          <cell r="BB183">
            <v>846.2998046875</v>
          </cell>
          <cell r="BC183" t="str">
            <v>Управляющая компания</v>
          </cell>
          <cell r="BD183" t="str">
            <v>1. Жилой дом</v>
          </cell>
          <cell r="BE183">
            <v>39.799999999999997</v>
          </cell>
          <cell r="BF183" t="str">
            <v>2.Чёрный</v>
          </cell>
          <cell r="BG183">
            <v>39.79998779296875</v>
          </cell>
          <cell r="BH183" t="str">
            <v>3.Водяной</v>
          </cell>
          <cell r="BI183" t="str">
            <v>МУП УИС</v>
          </cell>
          <cell r="BJ183" t="str">
            <v>1. Чугун</v>
          </cell>
          <cell r="BK183">
            <v>39.79998779296875</v>
          </cell>
          <cell r="BL183" t="str">
            <v>2.Кирпич</v>
          </cell>
          <cell r="BM183">
            <v>27030</v>
          </cell>
          <cell r="BN183">
            <v>112</v>
          </cell>
          <cell r="BO183" t="str">
            <v>Оборудован</v>
          </cell>
          <cell r="BP183" t="str">
            <v>4.Мягк/рулонная</v>
          </cell>
          <cell r="BQ183" t="str">
            <v>2.Плоская</v>
          </cell>
          <cell r="BR183">
            <v>1986.3</v>
          </cell>
          <cell r="BS183">
            <v>1901</v>
          </cell>
          <cell r="BT183">
            <v>897.8</v>
          </cell>
          <cell r="BU183">
            <v>897.7998046875</v>
          </cell>
          <cell r="BV183">
            <v>0</v>
          </cell>
          <cell r="BW183" t="str">
            <v>3.Частный жилищный фонд</v>
          </cell>
          <cell r="BX183">
            <v>112</v>
          </cell>
          <cell r="BY183">
            <v>0</v>
          </cell>
          <cell r="BZ183" t="str">
            <v>2-я</v>
          </cell>
          <cell r="CA183">
            <v>1</v>
          </cell>
          <cell r="CB183">
            <v>27.01</v>
          </cell>
          <cell r="CC183">
            <v>1</v>
          </cell>
          <cell r="CD183">
            <v>1</v>
          </cell>
          <cell r="CE183">
            <v>5535.8</v>
          </cell>
          <cell r="CF183" t="str">
            <v>ООО "Сфера"</v>
          </cell>
          <cell r="CG183">
            <v>110</v>
          </cell>
          <cell r="CH183">
            <v>2</v>
          </cell>
          <cell r="CI183">
            <v>2</v>
          </cell>
          <cell r="CJ183">
            <v>2</v>
          </cell>
          <cell r="CK183">
            <v>0</v>
          </cell>
          <cell r="CL183">
            <v>1</v>
          </cell>
          <cell r="CM183">
            <v>112</v>
          </cell>
          <cell r="CN183">
            <v>535.20000000000005</v>
          </cell>
          <cell r="CO183">
            <v>0</v>
          </cell>
          <cell r="CP183">
            <v>1538.4</v>
          </cell>
          <cell r="CQ183">
            <v>1538.3994140625</v>
          </cell>
          <cell r="CR183">
            <v>1538.3994140625</v>
          </cell>
          <cell r="CS183">
            <v>2</v>
          </cell>
          <cell r="CT183">
            <v>112</v>
          </cell>
          <cell r="CU183">
            <v>0</v>
          </cell>
          <cell r="CV183">
            <v>92</v>
          </cell>
          <cell r="CW183">
            <v>0</v>
          </cell>
          <cell r="CX183">
            <v>2</v>
          </cell>
          <cell r="CY183">
            <v>2</v>
          </cell>
          <cell r="CZ183">
            <v>33845</v>
          </cell>
          <cell r="DA183" t="str">
            <v>Демский</v>
          </cell>
          <cell r="DB183" t="str">
            <v>3.Сборные ж/б панели</v>
          </cell>
          <cell r="DC183">
            <v>33845</v>
          </cell>
          <cell r="DD183">
            <v>33845</v>
          </cell>
          <cell r="DE183">
            <v>33845</v>
          </cell>
          <cell r="DF183">
            <v>33845</v>
          </cell>
          <cell r="DG183">
            <v>33845</v>
          </cell>
          <cell r="DH183">
            <v>33845</v>
          </cell>
          <cell r="DI183">
            <v>33845</v>
          </cell>
          <cell r="DJ183">
            <v>33845</v>
          </cell>
          <cell r="DK183">
            <v>0</v>
          </cell>
          <cell r="DL183">
            <v>0</v>
          </cell>
          <cell r="DM183">
            <v>15325451</v>
          </cell>
          <cell r="DN183">
            <v>1</v>
          </cell>
          <cell r="DO183" t="str">
            <v>Отопление</v>
          </cell>
          <cell r="DP183" t="str">
            <v>УЖХ</v>
          </cell>
          <cell r="DQ183">
            <v>39933</v>
          </cell>
          <cell r="DR183">
            <v>0</v>
          </cell>
          <cell r="DS183">
            <v>112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 t="str">
            <v>3.Зависимая схема</v>
          </cell>
          <cell r="EE183" t="str">
            <v>Нижний</v>
          </cell>
          <cell r="EF183">
            <v>0</v>
          </cell>
          <cell r="EG183">
            <v>0</v>
          </cell>
          <cell r="EH183">
            <v>0</v>
          </cell>
          <cell r="EI183">
            <v>846.3</v>
          </cell>
          <cell r="EJ183">
            <v>716.6</v>
          </cell>
          <cell r="EK183">
            <v>1396.8</v>
          </cell>
          <cell r="EL183">
            <v>294.89999999999998</v>
          </cell>
          <cell r="EM183">
            <v>246.3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64.2</v>
          </cell>
          <cell r="FB183">
            <v>1</v>
          </cell>
          <cell r="FC183">
            <v>1</v>
          </cell>
          <cell r="FD183">
            <v>0</v>
          </cell>
          <cell r="FE183">
            <v>0</v>
          </cell>
          <cell r="FF183">
            <v>15.48</v>
          </cell>
          <cell r="FG183">
            <v>2</v>
          </cell>
          <cell r="FH183">
            <v>2</v>
          </cell>
          <cell r="FI183">
            <v>44713</v>
          </cell>
          <cell r="FJ183">
            <v>15477</v>
          </cell>
          <cell r="FK183">
            <v>15477</v>
          </cell>
          <cell r="FL183">
            <v>9990.1</v>
          </cell>
          <cell r="FM183">
            <v>78.92</v>
          </cell>
          <cell r="FN183">
            <v>11864.160000000002</v>
          </cell>
          <cell r="FO183">
            <v>35592.480000000003</v>
          </cell>
        </row>
        <row r="184">
          <cell r="AI184" t="str">
            <v>Ул. Правды дом 20/1</v>
          </cell>
          <cell r="AJ184">
            <v>35592.46875</v>
          </cell>
          <cell r="AK184">
            <v>3517.3</v>
          </cell>
          <cell r="AL184">
            <v>2423.3000000000002</v>
          </cell>
          <cell r="AM184">
            <v>4</v>
          </cell>
          <cell r="AN184">
            <v>4</v>
          </cell>
          <cell r="AO184" t="str">
            <v>АО УЖХ Демского района</v>
          </cell>
          <cell r="AP184">
            <v>3518.9</v>
          </cell>
          <cell r="AQ184">
            <v>0</v>
          </cell>
          <cell r="AR184">
            <v>267.39999999999998</v>
          </cell>
          <cell r="AS184">
            <v>4.8</v>
          </cell>
          <cell r="AT184">
            <v>80</v>
          </cell>
          <cell r="AU184">
            <v>5</v>
          </cell>
          <cell r="AV184">
            <v>183</v>
          </cell>
          <cell r="AW184">
            <v>0</v>
          </cell>
          <cell r="AX184">
            <v>0</v>
          </cell>
          <cell r="AY184">
            <v>0</v>
          </cell>
          <cell r="AZ184">
            <v>2084.1</v>
          </cell>
          <cell r="BA184">
            <v>1326.3</v>
          </cell>
          <cell r="BB184">
            <v>1326.2998046875</v>
          </cell>
          <cell r="BC184" t="str">
            <v>Управляющая компания</v>
          </cell>
          <cell r="BD184" t="str">
            <v>1. Жилой дом</v>
          </cell>
          <cell r="BE184">
            <v>40.6</v>
          </cell>
          <cell r="BF184" t="str">
            <v>2.Чёрный</v>
          </cell>
          <cell r="BG184" t="str">
            <v>1.Оцинкованный</v>
          </cell>
          <cell r="BH184" t="str">
            <v>3.Водяной</v>
          </cell>
          <cell r="BI184" t="str">
            <v>МУП УИС</v>
          </cell>
          <cell r="BJ184" t="str">
            <v>1. Чугун</v>
          </cell>
          <cell r="BK184">
            <v>40.5999755859375</v>
          </cell>
          <cell r="BL184" t="str">
            <v>8.Сборные ж/б</v>
          </cell>
          <cell r="BM184">
            <v>26665</v>
          </cell>
          <cell r="BN184">
            <v>26665</v>
          </cell>
          <cell r="BO184" t="str">
            <v>Оборудован</v>
          </cell>
          <cell r="BP184" t="str">
            <v>1.Абсоцемент(шифер)</v>
          </cell>
          <cell r="BQ184" t="str">
            <v>1.Скатная</v>
          </cell>
          <cell r="BR184">
            <v>1131</v>
          </cell>
          <cell r="BS184">
            <v>870</v>
          </cell>
          <cell r="BT184">
            <v>870</v>
          </cell>
          <cell r="BU184">
            <v>870</v>
          </cell>
          <cell r="BV184">
            <v>0</v>
          </cell>
          <cell r="BW184" t="str">
            <v>3.Частный жилищный фонд</v>
          </cell>
          <cell r="BX184">
            <v>80</v>
          </cell>
          <cell r="BY184">
            <v>0</v>
          </cell>
          <cell r="BZ184" t="str">
            <v>2-я</v>
          </cell>
          <cell r="CA184">
            <v>1</v>
          </cell>
          <cell r="CB184">
            <v>27.01</v>
          </cell>
          <cell r="CC184">
            <v>27.009994506835938</v>
          </cell>
          <cell r="CD184">
            <v>3518.9</v>
          </cell>
          <cell r="CE184">
            <v>3518.8984375</v>
          </cell>
          <cell r="CF184" t="str">
            <v>ООО "Сфера"</v>
          </cell>
          <cell r="CG184">
            <v>80</v>
          </cell>
          <cell r="CH184">
            <v>0</v>
          </cell>
          <cell r="CI184">
            <v>0</v>
          </cell>
          <cell r="CJ184">
            <v>0</v>
          </cell>
          <cell r="CK184">
            <v>1</v>
          </cell>
          <cell r="CL184">
            <v>1</v>
          </cell>
          <cell r="CM184">
            <v>80</v>
          </cell>
          <cell r="CN184">
            <v>272.2</v>
          </cell>
          <cell r="CO184">
            <v>272.2</v>
          </cell>
          <cell r="CP184">
            <v>1142.2</v>
          </cell>
          <cell r="CQ184">
            <v>1142.19921875</v>
          </cell>
          <cell r="CR184">
            <v>1142.19921875</v>
          </cell>
          <cell r="CS184">
            <v>1</v>
          </cell>
          <cell r="CT184">
            <v>80</v>
          </cell>
          <cell r="CU184">
            <v>0</v>
          </cell>
          <cell r="CV184">
            <v>71</v>
          </cell>
          <cell r="CW184">
            <v>71</v>
          </cell>
          <cell r="CX184">
            <v>1</v>
          </cell>
          <cell r="CY184">
            <v>1</v>
          </cell>
          <cell r="CZ184">
            <v>12180</v>
          </cell>
          <cell r="DA184" t="str">
            <v>Демский</v>
          </cell>
          <cell r="DB184" t="str">
            <v>3.Сборные ж/б панели</v>
          </cell>
          <cell r="DC184">
            <v>12180</v>
          </cell>
          <cell r="DD184">
            <v>12180</v>
          </cell>
          <cell r="DE184">
            <v>12180</v>
          </cell>
          <cell r="DF184">
            <v>12180</v>
          </cell>
          <cell r="DG184">
            <v>12180</v>
          </cell>
          <cell r="DH184">
            <v>12180</v>
          </cell>
          <cell r="DI184">
            <v>12180</v>
          </cell>
          <cell r="DJ184">
            <v>12180</v>
          </cell>
          <cell r="DK184">
            <v>12180</v>
          </cell>
          <cell r="DL184">
            <v>12180</v>
          </cell>
          <cell r="DM184">
            <v>5448878</v>
          </cell>
          <cell r="DN184">
            <v>4</v>
          </cell>
          <cell r="DO184" t="str">
            <v>ГВС</v>
          </cell>
          <cell r="DP184" t="str">
            <v>УЖХ</v>
          </cell>
          <cell r="DQ184">
            <v>39188</v>
          </cell>
          <cell r="DR184">
            <v>0</v>
          </cell>
          <cell r="DS184">
            <v>80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 t="str">
            <v>3.Зависимая схема</v>
          </cell>
          <cell r="EE184" t="str">
            <v>Нижний</v>
          </cell>
          <cell r="EF184">
            <v>0</v>
          </cell>
          <cell r="EG184">
            <v>0</v>
          </cell>
          <cell r="EH184">
            <v>0</v>
          </cell>
          <cell r="EI184">
            <v>1326.3</v>
          </cell>
          <cell r="EJ184">
            <v>1326.2998046875</v>
          </cell>
          <cell r="EK184">
            <v>1714</v>
          </cell>
          <cell r="EL184">
            <v>1714</v>
          </cell>
          <cell r="EM184">
            <v>332.2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37.9</v>
          </cell>
          <cell r="FB184">
            <v>1</v>
          </cell>
          <cell r="FC184">
            <v>1</v>
          </cell>
          <cell r="FD184">
            <v>0</v>
          </cell>
          <cell r="FE184">
            <v>0</v>
          </cell>
          <cell r="FF184">
            <v>15.48</v>
          </cell>
          <cell r="FG184">
            <v>2</v>
          </cell>
          <cell r="FH184">
            <v>2</v>
          </cell>
          <cell r="FI184">
            <v>44682</v>
          </cell>
          <cell r="FJ184">
            <v>15477</v>
          </cell>
          <cell r="FK184">
            <v>15477</v>
          </cell>
          <cell r="FL184">
            <v>4659.5</v>
          </cell>
          <cell r="FM184">
            <v>78.92</v>
          </cell>
          <cell r="FN184">
            <v>2160.8000000000002</v>
          </cell>
          <cell r="FO184">
            <v>6482.4000000000005</v>
          </cell>
        </row>
        <row r="185">
          <cell r="AI185" t="str">
            <v>Ул. Правды дом 20/2</v>
          </cell>
          <cell r="AJ185">
            <v>6482.3984375</v>
          </cell>
          <cell r="AK185">
            <v>2618.8000000000002</v>
          </cell>
          <cell r="AL185">
            <v>1819</v>
          </cell>
          <cell r="AM185">
            <v>4</v>
          </cell>
          <cell r="AN185">
            <v>4</v>
          </cell>
          <cell r="AO185" t="str">
            <v>АО УЖХ Демского района</v>
          </cell>
          <cell r="AP185">
            <v>2559.8000000000002</v>
          </cell>
          <cell r="AQ185">
            <v>59.1</v>
          </cell>
          <cell r="AR185">
            <v>294.39999999999998</v>
          </cell>
          <cell r="AS185">
            <v>5.2</v>
          </cell>
          <cell r="AT185">
            <v>60</v>
          </cell>
          <cell r="AU185">
            <v>5</v>
          </cell>
          <cell r="AV185">
            <v>156</v>
          </cell>
          <cell r="AW185">
            <v>0</v>
          </cell>
          <cell r="AX185">
            <v>0</v>
          </cell>
          <cell r="AY185">
            <v>0</v>
          </cell>
          <cell r="AZ185">
            <v>1280.5</v>
          </cell>
          <cell r="BA185">
            <v>2335.4</v>
          </cell>
          <cell r="BB185">
            <v>2335.3984375</v>
          </cell>
          <cell r="BC185" t="str">
            <v>Управляющая компания</v>
          </cell>
          <cell r="BD185" t="str">
            <v>1. Жилой дом</v>
          </cell>
          <cell r="BE185">
            <v>40.6</v>
          </cell>
          <cell r="BF185" t="str">
            <v>2.Чёрный</v>
          </cell>
          <cell r="BG185">
            <v>40.5999755859375</v>
          </cell>
          <cell r="BH185" t="str">
            <v>3.Водяной</v>
          </cell>
          <cell r="BI185" t="str">
            <v>МУП УИС</v>
          </cell>
          <cell r="BJ185" t="str">
            <v>1. Чугун</v>
          </cell>
          <cell r="BK185">
            <v>40.5999755859375</v>
          </cell>
          <cell r="BL185" t="str">
            <v>8.Сборные ж/б</v>
          </cell>
          <cell r="BM185">
            <v>26665</v>
          </cell>
          <cell r="BN185">
            <v>60</v>
          </cell>
          <cell r="BO185" t="str">
            <v>Оборудован</v>
          </cell>
          <cell r="BP185" t="str">
            <v>4.Мягк/рулонная</v>
          </cell>
          <cell r="BQ185" t="str">
            <v>2.Плоская</v>
          </cell>
          <cell r="BR185">
            <v>747.9</v>
          </cell>
          <cell r="BS185">
            <v>679.9</v>
          </cell>
          <cell r="BT185">
            <v>679.89990234375</v>
          </cell>
          <cell r="BU185">
            <v>679.89990234375</v>
          </cell>
          <cell r="BV185">
            <v>0</v>
          </cell>
          <cell r="BW185" t="str">
            <v>3.Частный жилищный фонд</v>
          </cell>
          <cell r="BX185">
            <v>60</v>
          </cell>
          <cell r="BY185">
            <v>0</v>
          </cell>
          <cell r="BZ185" t="str">
            <v>2-я</v>
          </cell>
          <cell r="CA185">
            <v>1</v>
          </cell>
          <cell r="CB185">
            <v>27.01</v>
          </cell>
          <cell r="CC185">
            <v>1</v>
          </cell>
          <cell r="CD185">
            <v>1</v>
          </cell>
          <cell r="CE185">
            <v>2618.9</v>
          </cell>
          <cell r="CF185" t="str">
            <v>ООО "Сфера"</v>
          </cell>
          <cell r="CG185">
            <v>59</v>
          </cell>
          <cell r="CH185">
            <v>1</v>
          </cell>
          <cell r="CI185">
            <v>1</v>
          </cell>
          <cell r="CJ185">
            <v>1</v>
          </cell>
          <cell r="CK185">
            <v>1</v>
          </cell>
          <cell r="CL185">
            <v>1</v>
          </cell>
          <cell r="CM185">
            <v>61</v>
          </cell>
          <cell r="CN185">
            <v>299.60000000000002</v>
          </cell>
          <cell r="CO185">
            <v>0</v>
          </cell>
          <cell r="CP185">
            <v>979.5</v>
          </cell>
          <cell r="CQ185">
            <v>979.5</v>
          </cell>
          <cell r="CR185">
            <v>979.5</v>
          </cell>
          <cell r="CS185">
            <v>1</v>
          </cell>
          <cell r="CT185">
            <v>60</v>
          </cell>
          <cell r="CU185">
            <v>0</v>
          </cell>
          <cell r="CV185">
            <v>49</v>
          </cell>
          <cell r="CW185">
            <v>0</v>
          </cell>
          <cell r="CX185">
            <v>1</v>
          </cell>
          <cell r="CY185">
            <v>1</v>
          </cell>
          <cell r="CZ185">
            <v>9566</v>
          </cell>
          <cell r="DA185" t="str">
            <v>Демский</v>
          </cell>
          <cell r="DB185" t="str">
            <v>3.Сборные ж/б панели</v>
          </cell>
          <cell r="DC185">
            <v>9566</v>
          </cell>
          <cell r="DD185">
            <v>9566</v>
          </cell>
          <cell r="DE185">
            <v>9566</v>
          </cell>
          <cell r="DF185">
            <v>9566</v>
          </cell>
          <cell r="DG185">
            <v>9566</v>
          </cell>
          <cell r="DH185">
            <v>9566</v>
          </cell>
          <cell r="DI185">
            <v>9566</v>
          </cell>
          <cell r="DJ185">
            <v>9566</v>
          </cell>
          <cell r="DK185">
            <v>0</v>
          </cell>
          <cell r="DL185">
            <v>0</v>
          </cell>
          <cell r="DM185">
            <v>4258452</v>
          </cell>
          <cell r="DN185">
            <v>1</v>
          </cell>
          <cell r="DO185" t="str">
            <v>Отопление</v>
          </cell>
          <cell r="DP185" t="str">
            <v>УЖХ</v>
          </cell>
          <cell r="DQ185">
            <v>39188</v>
          </cell>
          <cell r="DR185">
            <v>0</v>
          </cell>
          <cell r="DS185">
            <v>60</v>
          </cell>
          <cell r="DT185">
            <v>0</v>
          </cell>
          <cell r="DU185">
            <v>0</v>
          </cell>
          <cell r="DV185">
            <v>0</v>
          </cell>
          <cell r="DW185">
            <v>0</v>
          </cell>
          <cell r="DX185">
            <v>0</v>
          </cell>
          <cell r="DY185">
            <v>0</v>
          </cell>
          <cell r="DZ185">
            <v>0</v>
          </cell>
          <cell r="EA185">
            <v>0</v>
          </cell>
          <cell r="EB185">
            <v>0</v>
          </cell>
          <cell r="EC185">
            <v>0</v>
          </cell>
          <cell r="ED185" t="str">
            <v>3.Зависимая схема</v>
          </cell>
          <cell r="EE185" t="str">
            <v>Нижний</v>
          </cell>
          <cell r="EF185">
            <v>0</v>
          </cell>
          <cell r="EG185">
            <v>0</v>
          </cell>
          <cell r="EH185">
            <v>12</v>
          </cell>
          <cell r="EI185">
            <v>2323.4</v>
          </cell>
          <cell r="EJ185">
            <v>2323.3984375</v>
          </cell>
          <cell r="EK185">
            <v>966.2</v>
          </cell>
          <cell r="EL185">
            <v>966.19970703125</v>
          </cell>
          <cell r="EM185">
            <v>181</v>
          </cell>
          <cell r="EN185">
            <v>0</v>
          </cell>
          <cell r="EO185">
            <v>68.5</v>
          </cell>
          <cell r="EP185">
            <v>1</v>
          </cell>
          <cell r="EQ185">
            <v>1</v>
          </cell>
          <cell r="ER185">
            <v>0</v>
          </cell>
          <cell r="ES185">
            <v>0</v>
          </cell>
          <cell r="ET185">
            <v>0</v>
          </cell>
          <cell r="EU185">
            <v>0</v>
          </cell>
          <cell r="EV185">
            <v>0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64.8</v>
          </cell>
          <cell r="FB185">
            <v>1</v>
          </cell>
          <cell r="FC185">
            <v>1</v>
          </cell>
          <cell r="FD185">
            <v>0</v>
          </cell>
          <cell r="FE185">
            <v>0</v>
          </cell>
          <cell r="FF185">
            <v>15.48</v>
          </cell>
          <cell r="FG185">
            <v>15.479995727539063</v>
          </cell>
          <cell r="FH185" t="str">
            <v>С УЛК (ЖЭУ)</v>
          </cell>
          <cell r="FI185">
            <v>44682</v>
          </cell>
          <cell r="FJ185">
            <v>15477</v>
          </cell>
          <cell r="FK185">
            <v>15477</v>
          </cell>
          <cell r="FL185">
            <v>3598.3</v>
          </cell>
          <cell r="FM185">
            <v>78.92</v>
          </cell>
          <cell r="FN185">
            <v>6355.8</v>
          </cell>
          <cell r="FO185">
            <v>19067.400000000001</v>
          </cell>
        </row>
        <row r="186">
          <cell r="AI186" t="str">
            <v>Ул. Правды дом 20/3</v>
          </cell>
          <cell r="AJ186">
            <v>19067.390625</v>
          </cell>
          <cell r="AK186">
            <v>3130.7</v>
          </cell>
          <cell r="AL186">
            <v>2131.5</v>
          </cell>
          <cell r="AM186">
            <v>4</v>
          </cell>
          <cell r="AN186">
            <v>4</v>
          </cell>
          <cell r="AO186" t="str">
            <v>АО УЖХ Демского района</v>
          </cell>
          <cell r="AP186">
            <v>3091.6</v>
          </cell>
          <cell r="AQ186">
            <v>40.299999999999997</v>
          </cell>
          <cell r="AR186">
            <v>259.39999999999998</v>
          </cell>
          <cell r="AS186">
            <v>9.6</v>
          </cell>
          <cell r="AT186">
            <v>70</v>
          </cell>
          <cell r="AU186">
            <v>5</v>
          </cell>
          <cell r="AV186">
            <v>158</v>
          </cell>
          <cell r="AW186">
            <v>0</v>
          </cell>
          <cell r="AX186">
            <v>0</v>
          </cell>
          <cell r="AY186">
            <v>50.1</v>
          </cell>
          <cell r="AZ186">
            <v>877.2</v>
          </cell>
          <cell r="BA186">
            <v>2739.1</v>
          </cell>
          <cell r="BB186">
            <v>2739.099609375</v>
          </cell>
          <cell r="BC186" t="str">
            <v>Управляющая компания</v>
          </cell>
          <cell r="BD186" t="str">
            <v>1. Жилой дом</v>
          </cell>
          <cell r="BE186">
            <v>40.6</v>
          </cell>
          <cell r="BF186" t="str">
            <v>2.Чёрный</v>
          </cell>
          <cell r="BG186">
            <v>40.5999755859375</v>
          </cell>
          <cell r="BH186" t="str">
            <v>3.Водяной</v>
          </cell>
          <cell r="BI186" t="str">
            <v>МУП УИС</v>
          </cell>
          <cell r="BJ186" t="str">
            <v>1. Чугун</v>
          </cell>
          <cell r="BK186">
            <v>40.5999755859375</v>
          </cell>
          <cell r="BL186" t="str">
            <v>2.Кирпич</v>
          </cell>
          <cell r="BM186">
            <v>26665</v>
          </cell>
          <cell r="BN186">
            <v>70</v>
          </cell>
          <cell r="BO186" t="str">
            <v>Оборудован</v>
          </cell>
          <cell r="BP186" t="str">
            <v>4.Мягк/рулонная</v>
          </cell>
          <cell r="BQ186" t="str">
            <v>2.Плоская</v>
          </cell>
          <cell r="BR186">
            <v>972.7</v>
          </cell>
          <cell r="BS186">
            <v>685</v>
          </cell>
          <cell r="BT186">
            <v>50.1</v>
          </cell>
          <cell r="BU186">
            <v>50.0999755859375</v>
          </cell>
          <cell r="BV186">
            <v>50.0999755859375</v>
          </cell>
          <cell r="BW186" t="str">
            <v>3.Частный жилищный фонд</v>
          </cell>
          <cell r="BX186">
            <v>70</v>
          </cell>
          <cell r="BY186">
            <v>0</v>
          </cell>
          <cell r="BZ186" t="str">
            <v>2-я</v>
          </cell>
          <cell r="CA186">
            <v>1</v>
          </cell>
          <cell r="CB186">
            <v>27.01</v>
          </cell>
          <cell r="CC186">
            <v>1</v>
          </cell>
          <cell r="CD186">
            <v>1</v>
          </cell>
          <cell r="CE186">
            <v>3131.9</v>
          </cell>
          <cell r="CF186" t="str">
            <v>ООО "Сфера"</v>
          </cell>
          <cell r="CG186">
            <v>69</v>
          </cell>
          <cell r="CH186">
            <v>1</v>
          </cell>
          <cell r="CI186">
            <v>1</v>
          </cell>
          <cell r="CJ186">
            <v>1</v>
          </cell>
          <cell r="CK186">
            <v>0</v>
          </cell>
          <cell r="CL186">
            <v>1</v>
          </cell>
          <cell r="CM186">
            <v>70</v>
          </cell>
          <cell r="CN186">
            <v>269</v>
          </cell>
          <cell r="CO186">
            <v>0</v>
          </cell>
          <cell r="CP186">
            <v>903.9</v>
          </cell>
          <cell r="CQ186">
            <v>903.89990234375</v>
          </cell>
          <cell r="CR186">
            <v>903.89990234375</v>
          </cell>
          <cell r="CS186">
            <v>1</v>
          </cell>
          <cell r="CT186">
            <v>70</v>
          </cell>
          <cell r="CU186">
            <v>0</v>
          </cell>
          <cell r="CV186">
            <v>61</v>
          </cell>
          <cell r="CW186">
            <v>0</v>
          </cell>
          <cell r="CX186">
            <v>1</v>
          </cell>
          <cell r="CY186">
            <v>1</v>
          </cell>
          <cell r="CZ186">
            <v>12636</v>
          </cell>
          <cell r="DA186" t="str">
            <v>Демский</v>
          </cell>
          <cell r="DB186" t="str">
            <v>3.Сборные ж/б панели</v>
          </cell>
          <cell r="DC186">
            <v>12636</v>
          </cell>
          <cell r="DD186">
            <v>12636</v>
          </cell>
          <cell r="DE186">
            <v>12636</v>
          </cell>
          <cell r="DF186">
            <v>12636</v>
          </cell>
          <cell r="DG186">
            <v>12636</v>
          </cell>
          <cell r="DH186">
            <v>12636</v>
          </cell>
          <cell r="DI186">
            <v>12636</v>
          </cell>
          <cell r="DJ186">
            <v>12636</v>
          </cell>
          <cell r="DK186">
            <v>0</v>
          </cell>
          <cell r="DL186">
            <v>0</v>
          </cell>
          <cell r="DM186">
            <v>6396278</v>
          </cell>
          <cell r="DN186">
            <v>2</v>
          </cell>
          <cell r="DO186" t="str">
            <v>Отопление</v>
          </cell>
          <cell r="DP186" t="str">
            <v>УЖХ</v>
          </cell>
          <cell r="DQ186">
            <v>39932</v>
          </cell>
          <cell r="DR186">
            <v>0</v>
          </cell>
          <cell r="DS186">
            <v>70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 t="str">
            <v>3.Зависимая схема</v>
          </cell>
          <cell r="EE186" t="str">
            <v>Нижний</v>
          </cell>
          <cell r="EF186">
            <v>0</v>
          </cell>
          <cell r="EG186">
            <v>0</v>
          </cell>
          <cell r="EH186">
            <v>237</v>
          </cell>
          <cell r="EI186">
            <v>2502.1</v>
          </cell>
          <cell r="EJ186">
            <v>2502.099609375</v>
          </cell>
          <cell r="EK186">
            <v>543.29999999999995</v>
          </cell>
          <cell r="EL186">
            <v>543.2998046875</v>
          </cell>
          <cell r="EM186">
            <v>257.89999999999998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76</v>
          </cell>
          <cell r="FB186">
            <v>1</v>
          </cell>
          <cell r="FC186">
            <v>1</v>
          </cell>
          <cell r="FD186">
            <v>0</v>
          </cell>
          <cell r="FE186">
            <v>0</v>
          </cell>
          <cell r="FF186">
            <v>15.19</v>
          </cell>
          <cell r="FG186">
            <v>2</v>
          </cell>
          <cell r="FH186">
            <v>2</v>
          </cell>
          <cell r="FI186">
            <v>43586</v>
          </cell>
          <cell r="FJ186">
            <v>15477</v>
          </cell>
          <cell r="FK186">
            <v>15477</v>
          </cell>
          <cell r="FL186">
            <v>4084.7</v>
          </cell>
          <cell r="FM186">
            <v>78.92</v>
          </cell>
          <cell r="FN186">
            <v>7415.1</v>
          </cell>
          <cell r="FO186">
            <v>22245.300000000003</v>
          </cell>
        </row>
        <row r="187">
          <cell r="AI187" t="str">
            <v>Ул. Правды дом 21</v>
          </cell>
          <cell r="AJ187">
            <v>22245.296875</v>
          </cell>
          <cell r="AK187">
            <v>11995.3</v>
          </cell>
          <cell r="AL187">
            <v>7321.1</v>
          </cell>
          <cell r="AM187">
            <v>6</v>
          </cell>
          <cell r="AN187">
            <v>6</v>
          </cell>
          <cell r="AO187" t="str">
            <v>АО УЖХ Демского района</v>
          </cell>
          <cell r="AP187">
            <v>11418.2</v>
          </cell>
          <cell r="AQ187">
            <v>577.1</v>
          </cell>
          <cell r="AR187">
            <v>763.6</v>
          </cell>
          <cell r="AS187">
            <v>742.4</v>
          </cell>
          <cell r="AT187">
            <v>216</v>
          </cell>
          <cell r="AU187">
            <v>10</v>
          </cell>
          <cell r="AV187">
            <v>563</v>
          </cell>
          <cell r="AW187">
            <v>0</v>
          </cell>
          <cell r="AX187" t="str">
            <v>отказ от услуги</v>
          </cell>
          <cell r="AY187">
            <v>3052.4</v>
          </cell>
          <cell r="AZ187">
            <v>6178</v>
          </cell>
          <cell r="BA187">
            <v>848</v>
          </cell>
          <cell r="BB187">
            <v>848</v>
          </cell>
          <cell r="BC187" t="str">
            <v>Управляющая компания</v>
          </cell>
          <cell r="BD187" t="str">
            <v>1. Жилой дом</v>
          </cell>
          <cell r="BE187">
            <v>30.2</v>
          </cell>
          <cell r="BF187" t="str">
            <v>1.Оцинкованный</v>
          </cell>
          <cell r="BG187" t="str">
            <v>1.Оцинкованный</v>
          </cell>
          <cell r="BH187" t="str">
            <v>3.Водяной</v>
          </cell>
          <cell r="BI187" t="str">
            <v>МУП УИС</v>
          </cell>
          <cell r="BJ187" t="str">
            <v>1. Чугун</v>
          </cell>
          <cell r="BK187">
            <v>6</v>
          </cell>
          <cell r="BL187" t="str">
            <v>2.Кирпич</v>
          </cell>
          <cell r="BM187">
            <v>31413</v>
          </cell>
          <cell r="BN187">
            <v>31413</v>
          </cell>
          <cell r="BO187" t="str">
            <v>Оборудован</v>
          </cell>
          <cell r="BP187" t="str">
            <v>4.Мягк/рулонная</v>
          </cell>
          <cell r="BQ187" t="str">
            <v>2.Плоская</v>
          </cell>
          <cell r="BR187">
            <v>3622</v>
          </cell>
          <cell r="BS187">
            <v>1744.2</v>
          </cell>
          <cell r="BT187">
            <v>1744.19921875</v>
          </cell>
          <cell r="BU187">
            <v>3308</v>
          </cell>
          <cell r="BV187">
            <v>3308</v>
          </cell>
          <cell r="BW187" t="str">
            <v>3.Частный жилищный фонд</v>
          </cell>
          <cell r="BX187">
            <v>212</v>
          </cell>
          <cell r="BY187">
            <v>4</v>
          </cell>
          <cell r="BZ187" t="str">
            <v>2-я</v>
          </cell>
          <cell r="CA187">
            <v>1</v>
          </cell>
          <cell r="CB187">
            <v>27.01</v>
          </cell>
          <cell r="CC187">
            <v>27.009994506835938</v>
          </cell>
          <cell r="CD187">
            <v>11995.3</v>
          </cell>
          <cell r="CE187">
            <v>11995.296875</v>
          </cell>
          <cell r="CF187" t="str">
            <v>ООО "Дёма Комфорт"</v>
          </cell>
          <cell r="CG187">
            <v>206</v>
          </cell>
          <cell r="CH187">
            <v>10</v>
          </cell>
          <cell r="CI187">
            <v>10</v>
          </cell>
          <cell r="CJ187" t="str">
            <v>не предусмотрено проектом</v>
          </cell>
          <cell r="CK187">
            <v>0</v>
          </cell>
          <cell r="CL187">
            <v>2</v>
          </cell>
          <cell r="CM187">
            <v>216</v>
          </cell>
          <cell r="CN187">
            <v>1506</v>
          </cell>
          <cell r="CO187">
            <v>1506</v>
          </cell>
          <cell r="CP187">
            <v>6558.2</v>
          </cell>
          <cell r="CQ187">
            <v>6558.19921875</v>
          </cell>
          <cell r="CR187">
            <v>6558.19921875</v>
          </cell>
          <cell r="CS187">
            <v>2</v>
          </cell>
          <cell r="CT187">
            <v>216</v>
          </cell>
          <cell r="CU187">
            <v>0</v>
          </cell>
          <cell r="CV187">
            <v>189</v>
          </cell>
          <cell r="CW187">
            <v>198</v>
          </cell>
          <cell r="CX187">
            <v>2</v>
          </cell>
          <cell r="CY187">
            <v>2</v>
          </cell>
          <cell r="CZ187">
            <v>68808</v>
          </cell>
          <cell r="DA187" t="str">
            <v>Демский</v>
          </cell>
          <cell r="DB187" t="str">
            <v>3.Сборные ж/б панели</v>
          </cell>
          <cell r="DC187">
            <v>68808</v>
          </cell>
          <cell r="DD187">
            <v>68808</v>
          </cell>
          <cell r="DE187">
            <v>68808</v>
          </cell>
          <cell r="DF187">
            <v>68808</v>
          </cell>
          <cell r="DG187">
            <v>68808</v>
          </cell>
          <cell r="DH187">
            <v>68808</v>
          </cell>
          <cell r="DI187">
            <v>68808</v>
          </cell>
          <cell r="DJ187" t="str">
            <v>АО УЖХ Демского района</v>
          </cell>
          <cell r="DK187">
            <v>68808</v>
          </cell>
          <cell r="DL187">
            <v>68808</v>
          </cell>
          <cell r="DM187">
            <v>11117899</v>
          </cell>
          <cell r="DN187">
            <v>6</v>
          </cell>
          <cell r="DO187" t="str">
            <v>ГВС</v>
          </cell>
          <cell r="DP187" t="str">
            <v>УЖХ</v>
          </cell>
          <cell r="DQ187">
            <v>35629</v>
          </cell>
          <cell r="DR187">
            <v>0</v>
          </cell>
          <cell r="DS187">
            <v>0</v>
          </cell>
          <cell r="DT187">
            <v>216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 t="str">
            <v>4. Независимая схема</v>
          </cell>
          <cell r="EE187" t="str">
            <v>Верхний</v>
          </cell>
          <cell r="EF187">
            <v>0</v>
          </cell>
          <cell r="EG187">
            <v>0</v>
          </cell>
          <cell r="EH187">
            <v>0</v>
          </cell>
          <cell r="EI187">
            <v>273</v>
          </cell>
          <cell r="EJ187">
            <v>2507</v>
          </cell>
          <cell r="EK187">
            <v>2514</v>
          </cell>
          <cell r="EL187">
            <v>798</v>
          </cell>
          <cell r="EM187">
            <v>324</v>
          </cell>
          <cell r="EN187">
            <v>3</v>
          </cell>
          <cell r="EO187">
            <v>3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575</v>
          </cell>
          <cell r="EV187">
            <v>1</v>
          </cell>
          <cell r="EW187">
            <v>10</v>
          </cell>
          <cell r="EX187">
            <v>1</v>
          </cell>
          <cell r="EY187">
            <v>1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16.850000000000001</v>
          </cell>
          <cell r="FG187">
            <v>16.849990844726563</v>
          </cell>
          <cell r="FH187">
            <v>16.849990844726563</v>
          </cell>
          <cell r="FI187">
            <v>43466</v>
          </cell>
          <cell r="FJ187">
            <v>15477</v>
          </cell>
          <cell r="FK187">
            <v>15477</v>
          </cell>
          <cell r="FL187">
            <v>18297.900000000001</v>
          </cell>
          <cell r="FM187">
            <v>78.92</v>
          </cell>
          <cell r="FN187">
            <v>5834.1600000000008</v>
          </cell>
          <cell r="FO187">
            <v>5834.1600000000008</v>
          </cell>
        </row>
        <row r="188">
          <cell r="AI188" t="str">
            <v>Ул. Правды дом 23</v>
          </cell>
          <cell r="AJ188">
            <v>5834.15625</v>
          </cell>
          <cell r="AK188">
            <v>3734.8</v>
          </cell>
          <cell r="AL188">
            <v>2217.5</v>
          </cell>
          <cell r="AM188">
            <v>1</v>
          </cell>
          <cell r="AN188">
            <v>1</v>
          </cell>
          <cell r="AO188" t="str">
            <v>АО УЖХ Демского района</v>
          </cell>
          <cell r="AP188">
            <v>3734.1</v>
          </cell>
          <cell r="AQ188">
            <v>0</v>
          </cell>
          <cell r="AR188">
            <v>154.4</v>
          </cell>
          <cell r="AS188">
            <v>542.70000000000005</v>
          </cell>
          <cell r="AT188">
            <v>68</v>
          </cell>
          <cell r="AU188">
            <v>12</v>
          </cell>
          <cell r="AV188">
            <v>156</v>
          </cell>
          <cell r="AW188">
            <v>0</v>
          </cell>
          <cell r="AX188" t="str">
            <v>отказ от услуги</v>
          </cell>
          <cell r="AY188">
            <v>224.7</v>
          </cell>
          <cell r="AZ188">
            <v>837.9</v>
          </cell>
          <cell r="BA188">
            <v>962.1</v>
          </cell>
          <cell r="BB188">
            <v>962.099609375</v>
          </cell>
          <cell r="BC188" t="str">
            <v>Управляющая компания</v>
          </cell>
          <cell r="BD188" t="str">
            <v>1. Жилой дом</v>
          </cell>
          <cell r="BE188">
            <v>28.6</v>
          </cell>
          <cell r="BF188" t="str">
            <v>1.Оцинкованный</v>
          </cell>
          <cell r="BG188" t="str">
            <v>1.Оцинкованный</v>
          </cell>
          <cell r="BH188" t="str">
            <v>3.Водяной</v>
          </cell>
          <cell r="BI188" t="str">
            <v>МУП УИС</v>
          </cell>
          <cell r="BJ188" t="str">
            <v>1. Чугун</v>
          </cell>
          <cell r="BK188">
            <v>2</v>
          </cell>
          <cell r="BL188" t="str">
            <v>2.Кирпич</v>
          </cell>
          <cell r="BM188">
            <v>32143</v>
          </cell>
          <cell r="BN188">
            <v>32143</v>
          </cell>
          <cell r="BO188" t="str">
            <v>Оборудован</v>
          </cell>
          <cell r="BP188" t="str">
            <v>4.Мягк/рулонная</v>
          </cell>
          <cell r="BQ188" t="str">
            <v>2.Плоская</v>
          </cell>
          <cell r="BR188">
            <v>541</v>
          </cell>
          <cell r="BS188">
            <v>492.1</v>
          </cell>
          <cell r="BT188">
            <v>492.099853515625</v>
          </cell>
          <cell r="BU188">
            <v>467</v>
          </cell>
          <cell r="BV188">
            <v>467</v>
          </cell>
          <cell r="BW188" t="str">
            <v>3.Частный жилищный фонд</v>
          </cell>
          <cell r="BX188">
            <v>467</v>
          </cell>
          <cell r="BY188">
            <v>69</v>
          </cell>
          <cell r="BZ188" t="str">
            <v>2-я</v>
          </cell>
          <cell r="CA188">
            <v>1</v>
          </cell>
          <cell r="CB188">
            <v>27.01</v>
          </cell>
          <cell r="CC188">
            <v>27.009994506835938</v>
          </cell>
          <cell r="CD188">
            <v>3844.3</v>
          </cell>
          <cell r="CE188">
            <v>3844.298828125</v>
          </cell>
          <cell r="CF188" t="str">
            <v>ООО "Дёма Комфорт"</v>
          </cell>
          <cell r="CG188">
            <v>67</v>
          </cell>
          <cell r="CH188">
            <v>1</v>
          </cell>
          <cell r="CI188">
            <v>1</v>
          </cell>
          <cell r="CJ188" t="str">
            <v>имеется, работает</v>
          </cell>
          <cell r="CK188">
            <v>0</v>
          </cell>
          <cell r="CL188">
            <v>1</v>
          </cell>
          <cell r="CM188">
            <v>71</v>
          </cell>
          <cell r="CN188">
            <v>697.1</v>
          </cell>
          <cell r="CO188">
            <v>697.1</v>
          </cell>
          <cell r="CP188">
            <v>1656.2</v>
          </cell>
          <cell r="CQ188">
            <v>1656.19921875</v>
          </cell>
          <cell r="CR188">
            <v>1656.19921875</v>
          </cell>
          <cell r="CS188">
            <v>1</v>
          </cell>
          <cell r="CT188">
            <v>68</v>
          </cell>
          <cell r="CU188">
            <v>0</v>
          </cell>
          <cell r="CV188">
            <v>65</v>
          </cell>
          <cell r="CW188">
            <v>63</v>
          </cell>
          <cell r="CX188">
            <v>1</v>
          </cell>
          <cell r="CY188">
            <v>1</v>
          </cell>
          <cell r="CZ188">
            <v>16712</v>
          </cell>
          <cell r="DA188" t="str">
            <v>Демский</v>
          </cell>
          <cell r="DB188" t="str">
            <v>3.Сборные ж/б панели</v>
          </cell>
          <cell r="DC188">
            <v>16712</v>
          </cell>
          <cell r="DD188">
            <v>16712</v>
          </cell>
          <cell r="DE188">
            <v>16712</v>
          </cell>
          <cell r="DF188">
            <v>16712</v>
          </cell>
          <cell r="DG188">
            <v>16712</v>
          </cell>
          <cell r="DH188">
            <v>16712</v>
          </cell>
          <cell r="DI188">
            <v>16712</v>
          </cell>
          <cell r="DJ188" t="str">
            <v>АО УЖХ Демского района</v>
          </cell>
          <cell r="DK188">
            <v>16712</v>
          </cell>
          <cell r="DL188">
            <v>16712</v>
          </cell>
          <cell r="DM188">
            <v>9298125</v>
          </cell>
          <cell r="DN188">
            <v>1</v>
          </cell>
          <cell r="DO188" t="str">
            <v>ГВС</v>
          </cell>
          <cell r="DP188" t="str">
            <v>УЖХ</v>
          </cell>
          <cell r="DQ188">
            <v>34298</v>
          </cell>
          <cell r="DR188">
            <v>0</v>
          </cell>
          <cell r="DS188">
            <v>0</v>
          </cell>
          <cell r="DT188">
            <v>68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 t="str">
            <v>4. Независимая схема</v>
          </cell>
          <cell r="EE188" t="str">
            <v>Верхний</v>
          </cell>
          <cell r="EF188">
            <v>0</v>
          </cell>
          <cell r="EG188">
            <v>0</v>
          </cell>
          <cell r="EH188">
            <v>0</v>
          </cell>
          <cell r="EI188">
            <v>962.1</v>
          </cell>
          <cell r="EJ188">
            <v>114.7</v>
          </cell>
          <cell r="EK188">
            <v>515.72</v>
          </cell>
          <cell r="EL188">
            <v>120</v>
          </cell>
          <cell r="EM188">
            <v>87.48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18.97</v>
          </cell>
          <cell r="FG188">
            <v>18.969985961914063</v>
          </cell>
          <cell r="FH188">
            <v>18.969985961914063</v>
          </cell>
          <cell r="FI188">
            <v>43466</v>
          </cell>
          <cell r="FJ188">
            <v>15477</v>
          </cell>
          <cell r="FK188">
            <v>15477</v>
          </cell>
          <cell r="FL188">
            <v>5148.7</v>
          </cell>
          <cell r="FM188">
            <v>78.92</v>
          </cell>
          <cell r="FN188">
            <v>1836.68</v>
          </cell>
          <cell r="FO188">
            <v>1836.68</v>
          </cell>
        </row>
        <row r="189">
          <cell r="AI189" t="str">
            <v>Ул. Мусоргского дом 7</v>
          </cell>
          <cell r="AJ189">
            <v>1836.6796875</v>
          </cell>
          <cell r="AK189">
            <v>2632.2</v>
          </cell>
          <cell r="AL189">
            <v>1820.6</v>
          </cell>
          <cell r="AM189">
            <v>4</v>
          </cell>
          <cell r="AN189">
            <v>4</v>
          </cell>
          <cell r="AO189" t="str">
            <v>АО УЖХ Демского района</v>
          </cell>
          <cell r="AP189">
            <v>2501.3000000000002</v>
          </cell>
          <cell r="AQ189">
            <v>130.69999999999999</v>
          </cell>
          <cell r="AR189">
            <v>283.39999999999998</v>
          </cell>
          <cell r="AS189">
            <v>7.3</v>
          </cell>
          <cell r="AT189">
            <v>60</v>
          </cell>
          <cell r="AU189">
            <v>5</v>
          </cell>
          <cell r="AV189">
            <v>149</v>
          </cell>
          <cell r="AW189">
            <v>0</v>
          </cell>
          <cell r="AX189">
            <v>0</v>
          </cell>
          <cell r="AY189">
            <v>0</v>
          </cell>
          <cell r="AZ189">
            <v>794.8</v>
          </cell>
          <cell r="BA189">
            <v>1965.5</v>
          </cell>
          <cell r="BB189">
            <v>1965.5</v>
          </cell>
          <cell r="BC189" t="str">
            <v>Управляющая компания</v>
          </cell>
          <cell r="BD189" t="str">
            <v>1. Жилой дом</v>
          </cell>
          <cell r="BE189">
            <v>43.8</v>
          </cell>
          <cell r="BF189" t="str">
            <v>2.Чёрный</v>
          </cell>
          <cell r="BG189">
            <v>43.79998779296875</v>
          </cell>
          <cell r="BH189" t="str">
            <v>3.Водяной</v>
          </cell>
          <cell r="BI189" t="str">
            <v>МУП УИС</v>
          </cell>
          <cell r="BJ189" t="str">
            <v>1. Чугун</v>
          </cell>
          <cell r="BK189">
            <v>43.79998779296875</v>
          </cell>
          <cell r="BL189" t="str">
            <v>8.Сборные ж/б</v>
          </cell>
          <cell r="BM189">
            <v>25204</v>
          </cell>
          <cell r="BN189">
            <v>60</v>
          </cell>
          <cell r="BO189" t="str">
            <v>Оборудован</v>
          </cell>
          <cell r="BP189" t="str">
            <v>4.Мягк/рулонная</v>
          </cell>
          <cell r="BQ189" t="str">
            <v>2.Плоская</v>
          </cell>
          <cell r="BR189">
            <v>883.2</v>
          </cell>
          <cell r="BS189">
            <v>612.9</v>
          </cell>
          <cell r="BT189">
            <v>612.89990234375</v>
          </cell>
          <cell r="BU189">
            <v>612.89990234375</v>
          </cell>
          <cell r="BV189">
            <v>0</v>
          </cell>
          <cell r="BW189" t="str">
            <v>3.Частный жилищный фонд</v>
          </cell>
          <cell r="BX189">
            <v>60</v>
          </cell>
          <cell r="BY189">
            <v>0</v>
          </cell>
          <cell r="BZ189" t="str">
            <v>2-я</v>
          </cell>
          <cell r="CA189">
            <v>1</v>
          </cell>
          <cell r="CB189">
            <v>27.01</v>
          </cell>
          <cell r="CC189">
            <v>1</v>
          </cell>
          <cell r="CD189">
            <v>1</v>
          </cell>
          <cell r="CE189">
            <v>2632</v>
          </cell>
          <cell r="CF189" t="str">
            <v>ООО "Сфера"</v>
          </cell>
          <cell r="CG189">
            <v>57</v>
          </cell>
          <cell r="CH189">
            <v>3</v>
          </cell>
          <cell r="CI189">
            <v>3</v>
          </cell>
          <cell r="CJ189">
            <v>3</v>
          </cell>
          <cell r="CK189">
            <v>0</v>
          </cell>
          <cell r="CL189">
            <v>0</v>
          </cell>
          <cell r="CM189">
            <v>60</v>
          </cell>
          <cell r="CN189">
            <v>290.7</v>
          </cell>
          <cell r="CO189">
            <v>0</v>
          </cell>
          <cell r="CP189">
            <v>903.6</v>
          </cell>
          <cell r="CQ189">
            <v>903.599609375</v>
          </cell>
          <cell r="CR189">
            <v>903.599609375</v>
          </cell>
          <cell r="CS189">
            <v>1</v>
          </cell>
          <cell r="CT189">
            <v>60</v>
          </cell>
          <cell r="CU189">
            <v>0</v>
          </cell>
          <cell r="CV189">
            <v>47</v>
          </cell>
          <cell r="CW189">
            <v>0</v>
          </cell>
          <cell r="CX189">
            <v>1</v>
          </cell>
          <cell r="CY189">
            <v>1</v>
          </cell>
          <cell r="CZ189">
            <v>9580</v>
          </cell>
          <cell r="DA189" t="str">
            <v>Демский</v>
          </cell>
          <cell r="DB189" t="str">
            <v>3.Сборные ж/б панели</v>
          </cell>
          <cell r="DC189">
            <v>9580</v>
          </cell>
          <cell r="DD189">
            <v>9580</v>
          </cell>
          <cell r="DE189">
            <v>9580</v>
          </cell>
          <cell r="DF189">
            <v>9580</v>
          </cell>
          <cell r="DG189">
            <v>9580</v>
          </cell>
          <cell r="DH189">
            <v>9580</v>
          </cell>
          <cell r="DI189">
            <v>9580</v>
          </cell>
          <cell r="DJ189">
            <v>9580</v>
          </cell>
          <cell r="DK189">
            <v>0</v>
          </cell>
          <cell r="DL189">
            <v>0</v>
          </cell>
          <cell r="DM189">
            <v>4854768</v>
          </cell>
          <cell r="DN189">
            <v>3</v>
          </cell>
          <cell r="DO189" t="str">
            <v>Отопление</v>
          </cell>
          <cell r="DP189" t="str">
            <v>УЖХ</v>
          </cell>
          <cell r="DQ189">
            <v>35502</v>
          </cell>
          <cell r="DR189">
            <v>0</v>
          </cell>
          <cell r="DS189">
            <v>60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 t="str">
            <v>3.Зависимая схема</v>
          </cell>
          <cell r="EE189" t="str">
            <v>Нижний</v>
          </cell>
          <cell r="EF189">
            <v>0</v>
          </cell>
          <cell r="EG189">
            <v>0</v>
          </cell>
          <cell r="EH189">
            <v>0</v>
          </cell>
          <cell r="EI189">
            <v>1757.5</v>
          </cell>
          <cell r="EJ189">
            <v>1757.5</v>
          </cell>
          <cell r="EK189">
            <v>520.1</v>
          </cell>
          <cell r="EL189">
            <v>520.099609375</v>
          </cell>
          <cell r="EM189">
            <v>224.2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208</v>
          </cell>
          <cell r="EV189">
            <v>1</v>
          </cell>
          <cell r="EW189">
            <v>1</v>
          </cell>
          <cell r="EX189">
            <v>0</v>
          </cell>
          <cell r="EY189">
            <v>0</v>
          </cell>
          <cell r="EZ189">
            <v>0</v>
          </cell>
          <cell r="FA189">
            <v>50.5</v>
          </cell>
          <cell r="FB189">
            <v>1</v>
          </cell>
          <cell r="FC189">
            <v>1</v>
          </cell>
          <cell r="FD189">
            <v>0</v>
          </cell>
          <cell r="FE189">
            <v>0</v>
          </cell>
          <cell r="FF189">
            <v>14.12</v>
          </cell>
          <cell r="FG189">
            <v>14.1199951171875</v>
          </cell>
          <cell r="FH189" t="str">
            <v>С УЛК (клининг)</v>
          </cell>
          <cell r="FI189">
            <v>43551</v>
          </cell>
          <cell r="FJ189">
            <v>15477</v>
          </cell>
          <cell r="FK189">
            <v>15477</v>
          </cell>
          <cell r="FL189">
            <v>3535.8</v>
          </cell>
          <cell r="FM189">
            <v>78.92</v>
          </cell>
          <cell r="FN189">
            <v>6355.8</v>
          </cell>
          <cell r="FO189">
            <v>19067.400000000001</v>
          </cell>
        </row>
        <row r="190">
          <cell r="AI190" t="str">
            <v>Ул. Мусоргского дом 9</v>
          </cell>
          <cell r="AJ190">
            <v>19067.390625</v>
          </cell>
          <cell r="AK190">
            <v>3388.1</v>
          </cell>
          <cell r="AL190">
            <v>2158.1999999999998</v>
          </cell>
          <cell r="AM190">
            <v>5</v>
          </cell>
          <cell r="AN190">
            <v>5</v>
          </cell>
          <cell r="AO190" t="str">
            <v>АО УЖХ Демского района</v>
          </cell>
          <cell r="AP190">
            <v>3386.6</v>
          </cell>
          <cell r="AQ190">
            <v>0</v>
          </cell>
          <cell r="AR190">
            <v>335</v>
          </cell>
          <cell r="AS190">
            <v>13.5</v>
          </cell>
          <cell r="AT190">
            <v>100</v>
          </cell>
          <cell r="AU190">
            <v>5</v>
          </cell>
          <cell r="AV190">
            <v>171</v>
          </cell>
          <cell r="AW190">
            <v>0</v>
          </cell>
          <cell r="AX190">
            <v>0</v>
          </cell>
          <cell r="AY190">
            <v>0</v>
          </cell>
          <cell r="AZ190">
            <v>1006.8</v>
          </cell>
          <cell r="BA190">
            <v>2212.3000000000002</v>
          </cell>
          <cell r="BB190">
            <v>2212.298828125</v>
          </cell>
          <cell r="BC190" t="str">
            <v>Управляющая компания</v>
          </cell>
          <cell r="BD190" t="str">
            <v>1. Жилой дом</v>
          </cell>
          <cell r="BE190">
            <v>44.6</v>
          </cell>
          <cell r="BF190" t="str">
            <v>2.Чёрный</v>
          </cell>
          <cell r="BG190">
            <v>44.5999755859375</v>
          </cell>
          <cell r="BH190" t="str">
            <v>3.Водяной</v>
          </cell>
          <cell r="BI190" t="str">
            <v>МУП УИС</v>
          </cell>
          <cell r="BJ190" t="str">
            <v>1. Чугун</v>
          </cell>
          <cell r="BK190">
            <v>44.5999755859375</v>
          </cell>
          <cell r="BL190" t="str">
            <v>8.Сборные ж/б</v>
          </cell>
          <cell r="BM190">
            <v>24838</v>
          </cell>
          <cell r="BN190">
            <v>100</v>
          </cell>
          <cell r="BO190" t="str">
            <v>Оборудован</v>
          </cell>
          <cell r="BP190" t="str">
            <v>8.Профнастил</v>
          </cell>
          <cell r="BQ190" t="str">
            <v>1.Скатная</v>
          </cell>
          <cell r="BR190">
            <v>1117</v>
          </cell>
          <cell r="BS190">
            <v>858.6</v>
          </cell>
          <cell r="BT190">
            <v>858.599609375</v>
          </cell>
          <cell r="BU190">
            <v>858.599609375</v>
          </cell>
          <cell r="BV190">
            <v>0</v>
          </cell>
          <cell r="BW190" t="str">
            <v>3.Частный жилищный фонд</v>
          </cell>
          <cell r="BX190">
            <v>100</v>
          </cell>
          <cell r="BY190">
            <v>0</v>
          </cell>
          <cell r="BZ190" t="str">
            <v>2-я</v>
          </cell>
          <cell r="CA190">
            <v>1</v>
          </cell>
          <cell r="CB190">
            <v>27.01</v>
          </cell>
          <cell r="CC190">
            <v>1</v>
          </cell>
          <cell r="CD190">
            <v>1</v>
          </cell>
          <cell r="CE190">
            <v>3386.6</v>
          </cell>
          <cell r="CF190" t="str">
            <v>ООО "Сфера"</v>
          </cell>
          <cell r="CG190">
            <v>100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1</v>
          </cell>
          <cell r="CM190">
            <v>100</v>
          </cell>
          <cell r="CN190">
            <v>348.5</v>
          </cell>
          <cell r="CO190">
            <v>0</v>
          </cell>
          <cell r="CP190">
            <v>1207.0999999999999</v>
          </cell>
          <cell r="CQ190">
            <v>1207.099609375</v>
          </cell>
          <cell r="CR190">
            <v>1207.099609375</v>
          </cell>
          <cell r="CS190">
            <v>1</v>
          </cell>
          <cell r="CT190">
            <v>100</v>
          </cell>
          <cell r="CU190">
            <v>0</v>
          </cell>
          <cell r="CV190">
            <v>76</v>
          </cell>
          <cell r="CW190">
            <v>0</v>
          </cell>
          <cell r="CX190">
            <v>1</v>
          </cell>
          <cell r="CY190">
            <v>1</v>
          </cell>
          <cell r="CZ190">
            <v>12106</v>
          </cell>
          <cell r="DA190" t="str">
            <v>Демский</v>
          </cell>
          <cell r="DB190" t="str">
            <v>3.Сборные ж/б панели</v>
          </cell>
          <cell r="DC190">
            <v>12106</v>
          </cell>
          <cell r="DD190">
            <v>12106</v>
          </cell>
          <cell r="DE190">
            <v>12106</v>
          </cell>
          <cell r="DF190">
            <v>12106</v>
          </cell>
          <cell r="DG190">
            <v>12106</v>
          </cell>
          <cell r="DH190">
            <v>12106</v>
          </cell>
          <cell r="DI190">
            <v>12106</v>
          </cell>
          <cell r="DJ190">
            <v>12106</v>
          </cell>
          <cell r="DK190">
            <v>0</v>
          </cell>
          <cell r="DL190">
            <v>0</v>
          </cell>
          <cell r="DM190">
            <v>5364564</v>
          </cell>
          <cell r="DN190">
            <v>5</v>
          </cell>
          <cell r="DO190" t="str">
            <v>Отопление</v>
          </cell>
          <cell r="DP190" t="str">
            <v>УЖХ</v>
          </cell>
          <cell r="DQ190">
            <v>39174</v>
          </cell>
          <cell r="DR190">
            <v>0</v>
          </cell>
          <cell r="DS190">
            <v>100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 t="str">
            <v>3.Зависимая схема</v>
          </cell>
          <cell r="EE190" t="str">
            <v>Нижний</v>
          </cell>
          <cell r="EF190">
            <v>0</v>
          </cell>
          <cell r="EG190">
            <v>0</v>
          </cell>
          <cell r="EH190">
            <v>0</v>
          </cell>
          <cell r="EI190">
            <v>2212.3000000000002</v>
          </cell>
          <cell r="EJ190">
            <v>2212.298828125</v>
          </cell>
          <cell r="EK190">
            <v>666.5</v>
          </cell>
          <cell r="EL190">
            <v>666.5</v>
          </cell>
          <cell r="EM190">
            <v>292.5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47.8</v>
          </cell>
          <cell r="FB190">
            <v>1</v>
          </cell>
          <cell r="FC190">
            <v>1</v>
          </cell>
          <cell r="FD190">
            <v>0</v>
          </cell>
          <cell r="FE190">
            <v>0</v>
          </cell>
          <cell r="FF190">
            <v>15.48</v>
          </cell>
          <cell r="FG190">
            <v>15.479995727539063</v>
          </cell>
          <cell r="FH190" t="str">
            <v>С УЛК (клининг)</v>
          </cell>
          <cell r="FI190">
            <v>44682</v>
          </cell>
          <cell r="FJ190">
            <v>15477</v>
          </cell>
          <cell r="FK190">
            <v>15477</v>
          </cell>
          <cell r="FL190">
            <v>4595.2</v>
          </cell>
          <cell r="FM190">
            <v>78.92</v>
          </cell>
          <cell r="FN190">
            <v>10593</v>
          </cell>
          <cell r="FO190">
            <v>31779</v>
          </cell>
        </row>
        <row r="191">
          <cell r="AI191" t="str">
            <v>Ул. Мусоргского дом 9/а</v>
          </cell>
          <cell r="AJ191">
            <v>31779</v>
          </cell>
          <cell r="AK191">
            <v>2650.5</v>
          </cell>
          <cell r="AL191">
            <v>1837.4</v>
          </cell>
          <cell r="AM191">
            <v>4</v>
          </cell>
          <cell r="AN191">
            <v>4</v>
          </cell>
          <cell r="AO191" t="str">
            <v>АО УЖХ Демского района</v>
          </cell>
          <cell r="AP191">
            <v>2531</v>
          </cell>
          <cell r="AQ191">
            <v>118.7</v>
          </cell>
          <cell r="AR191">
            <v>283.60000000000002</v>
          </cell>
          <cell r="AS191">
            <v>28.3</v>
          </cell>
          <cell r="AT191">
            <v>60</v>
          </cell>
          <cell r="AU191">
            <v>5</v>
          </cell>
          <cell r="AV191">
            <v>143</v>
          </cell>
          <cell r="AW191">
            <v>0</v>
          </cell>
          <cell r="AX191">
            <v>0</v>
          </cell>
          <cell r="AY191">
            <v>0</v>
          </cell>
          <cell r="AZ191">
            <v>1014.7</v>
          </cell>
          <cell r="BA191">
            <v>1575.6</v>
          </cell>
          <cell r="BB191">
            <v>1575.599609375</v>
          </cell>
          <cell r="BC191" t="str">
            <v>Управляющая компания</v>
          </cell>
          <cell r="BD191" t="str">
            <v>1. Жилой дом</v>
          </cell>
          <cell r="BE191">
            <v>43</v>
          </cell>
          <cell r="BF191" t="str">
            <v>2.Чёрный</v>
          </cell>
          <cell r="BG191">
            <v>43</v>
          </cell>
          <cell r="BH191" t="str">
            <v>3.Водяной</v>
          </cell>
          <cell r="BI191" t="str">
            <v>МУП УИС</v>
          </cell>
          <cell r="BJ191" t="str">
            <v>1. Чугун</v>
          </cell>
          <cell r="BK191">
            <v>43</v>
          </cell>
          <cell r="BL191" t="str">
            <v>8.Сборные ж/б</v>
          </cell>
          <cell r="BM191">
            <v>25569</v>
          </cell>
          <cell r="BN191">
            <v>60</v>
          </cell>
          <cell r="BO191" t="str">
            <v>Оборудован</v>
          </cell>
          <cell r="BP191" t="str">
            <v>4.Мягк/рулонная</v>
          </cell>
          <cell r="BQ191" t="str">
            <v>2.Плоская</v>
          </cell>
          <cell r="BR191">
            <v>748</v>
          </cell>
          <cell r="BS191">
            <v>572.6</v>
          </cell>
          <cell r="BT191">
            <v>572.599609375</v>
          </cell>
          <cell r="BU191">
            <v>840</v>
          </cell>
          <cell r="BV191">
            <v>840</v>
          </cell>
          <cell r="BW191" t="str">
            <v>3.Частный жилищный фонд</v>
          </cell>
          <cell r="BX191">
            <v>60</v>
          </cell>
          <cell r="BY191">
            <v>0</v>
          </cell>
          <cell r="BZ191" t="str">
            <v>2-я</v>
          </cell>
          <cell r="CA191">
            <v>1</v>
          </cell>
          <cell r="CB191">
            <v>27.01</v>
          </cell>
          <cell r="CC191">
            <v>1</v>
          </cell>
          <cell r="CD191">
            <v>1</v>
          </cell>
          <cell r="CE191">
            <v>2649.7</v>
          </cell>
          <cell r="CF191" t="str">
            <v>ООО "Сфера"</v>
          </cell>
          <cell r="CG191">
            <v>58</v>
          </cell>
          <cell r="CH191">
            <v>2</v>
          </cell>
          <cell r="CI191">
            <v>2</v>
          </cell>
          <cell r="CJ191">
            <v>2</v>
          </cell>
          <cell r="CK191">
            <v>0</v>
          </cell>
          <cell r="CL191">
            <v>0</v>
          </cell>
          <cell r="CM191">
            <v>60</v>
          </cell>
          <cell r="CN191">
            <v>311.89999999999998</v>
          </cell>
          <cell r="CO191">
            <v>0</v>
          </cell>
          <cell r="CP191">
            <v>1724.5</v>
          </cell>
          <cell r="CQ191">
            <v>1724.5</v>
          </cell>
          <cell r="CR191">
            <v>1724.5</v>
          </cell>
          <cell r="CS191">
            <v>1</v>
          </cell>
          <cell r="CT191">
            <v>60</v>
          </cell>
          <cell r="CU191">
            <v>0</v>
          </cell>
          <cell r="CV191">
            <v>47</v>
          </cell>
          <cell r="CW191">
            <v>0</v>
          </cell>
          <cell r="CX191">
            <v>1</v>
          </cell>
          <cell r="CY191">
            <v>1</v>
          </cell>
          <cell r="CZ191">
            <v>9722</v>
          </cell>
          <cell r="DA191" t="str">
            <v>Демский</v>
          </cell>
          <cell r="DB191" t="str">
            <v>3.Сборные ж/б панели</v>
          </cell>
          <cell r="DC191">
            <v>9722</v>
          </cell>
          <cell r="DD191">
            <v>9722</v>
          </cell>
          <cell r="DE191">
            <v>9722</v>
          </cell>
          <cell r="DF191">
            <v>9722</v>
          </cell>
          <cell r="DG191">
            <v>9722</v>
          </cell>
          <cell r="DH191">
            <v>9722</v>
          </cell>
          <cell r="DI191">
            <v>9722</v>
          </cell>
          <cell r="DJ191">
            <v>9722</v>
          </cell>
          <cell r="DK191">
            <v>0</v>
          </cell>
          <cell r="DL191">
            <v>0</v>
          </cell>
          <cell r="DM191">
            <v>4962828</v>
          </cell>
          <cell r="DN191">
            <v>4</v>
          </cell>
          <cell r="DO191" t="str">
            <v>Отопление</v>
          </cell>
          <cell r="DP191" t="str">
            <v>УЖХ</v>
          </cell>
          <cell r="DQ191">
            <v>35535</v>
          </cell>
          <cell r="DR191">
            <v>0</v>
          </cell>
          <cell r="DS191">
            <v>60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 t="str">
            <v>3.Зависимая схема</v>
          </cell>
          <cell r="EE191" t="str">
            <v>Нижний</v>
          </cell>
          <cell r="EF191">
            <v>0</v>
          </cell>
          <cell r="EG191">
            <v>0</v>
          </cell>
          <cell r="EH191">
            <v>0</v>
          </cell>
          <cell r="EI191">
            <v>1575.6</v>
          </cell>
          <cell r="EJ191">
            <v>28</v>
          </cell>
          <cell r="EK191">
            <v>564.6</v>
          </cell>
          <cell r="EL191">
            <v>0</v>
          </cell>
          <cell r="EM191">
            <v>411.6</v>
          </cell>
          <cell r="EN191">
            <v>4</v>
          </cell>
          <cell r="EO191">
            <v>4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10.5</v>
          </cell>
          <cell r="EX191">
            <v>1</v>
          </cell>
          <cell r="EY191">
            <v>1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16.53</v>
          </cell>
          <cell r="FG191">
            <v>16.529998779296875</v>
          </cell>
          <cell r="FH191" t="str">
            <v>С УЛК (клининг)</v>
          </cell>
          <cell r="FI191">
            <v>43552</v>
          </cell>
          <cell r="FJ191">
            <v>15477</v>
          </cell>
          <cell r="FK191">
            <v>15477</v>
          </cell>
          <cell r="FL191">
            <v>3535</v>
          </cell>
          <cell r="FM191">
            <v>78.92</v>
          </cell>
          <cell r="FN191">
            <v>6355.8</v>
          </cell>
          <cell r="FO191">
            <v>19067.400000000001</v>
          </cell>
        </row>
        <row r="192">
          <cell r="AI192" t="str">
            <v>Ул. Мусоргского дом 11</v>
          </cell>
          <cell r="AJ192">
            <v>19067.390625</v>
          </cell>
          <cell r="AK192">
            <v>3177</v>
          </cell>
          <cell r="AL192">
            <v>2067.6999999999998</v>
          </cell>
          <cell r="AM192">
            <v>4</v>
          </cell>
          <cell r="AN192">
            <v>4</v>
          </cell>
          <cell r="AO192" t="str">
            <v>АО УЖХ Демского района</v>
          </cell>
          <cell r="AP192">
            <v>3090.1</v>
          </cell>
          <cell r="AQ192">
            <v>87.8</v>
          </cell>
          <cell r="AR192">
            <v>200</v>
          </cell>
          <cell r="AS192">
            <v>8</v>
          </cell>
          <cell r="AT192">
            <v>80</v>
          </cell>
          <cell r="AU192">
            <v>5</v>
          </cell>
          <cell r="AV192">
            <v>172</v>
          </cell>
          <cell r="AW192">
            <v>0</v>
          </cell>
          <cell r="AX192">
            <v>0</v>
          </cell>
          <cell r="AY192">
            <v>0</v>
          </cell>
          <cell r="AZ192">
            <v>727.4</v>
          </cell>
          <cell r="BA192">
            <v>2890.7</v>
          </cell>
          <cell r="BB192">
            <v>2890.69921875</v>
          </cell>
          <cell r="BC192" t="str">
            <v>Управляющая компания</v>
          </cell>
          <cell r="BD192" t="str">
            <v>1. Жилой дом</v>
          </cell>
          <cell r="BE192">
            <v>46.2</v>
          </cell>
          <cell r="BF192" t="str">
            <v>2.Чёрный</v>
          </cell>
          <cell r="BG192">
            <v>46.199981689453125</v>
          </cell>
          <cell r="BH192" t="str">
            <v>3.Водяной</v>
          </cell>
          <cell r="BI192" t="str">
            <v>МУП УИС</v>
          </cell>
          <cell r="BJ192" t="str">
            <v>1. Чугун</v>
          </cell>
          <cell r="BK192">
            <v>46.199981689453125</v>
          </cell>
          <cell r="BL192" t="str">
            <v>2.Кирпич</v>
          </cell>
          <cell r="BM192">
            <v>24108</v>
          </cell>
          <cell r="BN192">
            <v>80</v>
          </cell>
          <cell r="BO192" t="str">
            <v>Оборудован</v>
          </cell>
          <cell r="BP192" t="str">
            <v>1.Абсоцемент(шифер)</v>
          </cell>
          <cell r="BQ192" t="str">
            <v>1.Скатная</v>
          </cell>
          <cell r="BR192">
            <v>1404</v>
          </cell>
          <cell r="BS192">
            <v>0</v>
          </cell>
          <cell r="BT192">
            <v>0</v>
          </cell>
          <cell r="BU192">
            <v>840</v>
          </cell>
          <cell r="BV192">
            <v>840</v>
          </cell>
          <cell r="BW192" t="str">
            <v>3.Частный жилищный фонд</v>
          </cell>
          <cell r="BX192">
            <v>80</v>
          </cell>
          <cell r="BY192">
            <v>0</v>
          </cell>
          <cell r="BZ192" t="str">
            <v>2-я</v>
          </cell>
          <cell r="CA192">
            <v>1</v>
          </cell>
          <cell r="CB192">
            <v>27.01</v>
          </cell>
          <cell r="CC192">
            <v>1</v>
          </cell>
          <cell r="CD192">
            <v>1</v>
          </cell>
          <cell r="CE192">
            <v>3177.9</v>
          </cell>
          <cell r="CF192" t="str">
            <v>ООО "Сфера"</v>
          </cell>
          <cell r="CG192">
            <v>78</v>
          </cell>
          <cell r="CH192">
            <v>2</v>
          </cell>
          <cell r="CI192">
            <v>2</v>
          </cell>
          <cell r="CJ192">
            <v>2</v>
          </cell>
          <cell r="CK192">
            <v>1</v>
          </cell>
          <cell r="CL192">
            <v>1</v>
          </cell>
          <cell r="CM192">
            <v>80</v>
          </cell>
          <cell r="CN192">
            <v>208</v>
          </cell>
          <cell r="CO192">
            <v>0</v>
          </cell>
          <cell r="CP192">
            <v>1048</v>
          </cell>
          <cell r="CQ192">
            <v>1048</v>
          </cell>
          <cell r="CR192">
            <v>1048</v>
          </cell>
          <cell r="CS192">
            <v>1</v>
          </cell>
          <cell r="CT192">
            <v>80</v>
          </cell>
          <cell r="CU192">
            <v>0</v>
          </cell>
          <cell r="CV192">
            <v>61</v>
          </cell>
          <cell r="CW192">
            <v>0</v>
          </cell>
          <cell r="CX192">
            <v>1</v>
          </cell>
          <cell r="CY192">
            <v>1</v>
          </cell>
          <cell r="CZ192">
            <v>12666</v>
          </cell>
          <cell r="DA192" t="str">
            <v>Демский</v>
          </cell>
          <cell r="DB192" t="str">
            <v>3.Сборные ж/б панели</v>
          </cell>
          <cell r="DC192">
            <v>12666</v>
          </cell>
          <cell r="DD192">
            <v>12666</v>
          </cell>
          <cell r="DE192">
            <v>12666</v>
          </cell>
          <cell r="DF192">
            <v>12666</v>
          </cell>
          <cell r="DG192">
            <v>12666</v>
          </cell>
          <cell r="DH192">
            <v>12666</v>
          </cell>
          <cell r="DI192">
            <v>12666</v>
          </cell>
          <cell r="DJ192">
            <v>12666</v>
          </cell>
          <cell r="DK192">
            <v>12666</v>
          </cell>
          <cell r="DL192">
            <v>12666</v>
          </cell>
          <cell r="DM192">
            <v>5715906</v>
          </cell>
          <cell r="DN192">
            <v>1</v>
          </cell>
          <cell r="DO192" t="str">
            <v>Отопление</v>
          </cell>
          <cell r="DP192" t="str">
            <v>УЖХ</v>
          </cell>
          <cell r="DQ192">
            <v>35591</v>
          </cell>
          <cell r="DR192">
            <v>0</v>
          </cell>
          <cell r="DS192">
            <v>80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 t="str">
            <v>3.Зависимая схема</v>
          </cell>
          <cell r="EE192" t="str">
            <v>Нижний</v>
          </cell>
          <cell r="EF192">
            <v>0</v>
          </cell>
          <cell r="EG192">
            <v>0</v>
          </cell>
          <cell r="EH192">
            <v>0</v>
          </cell>
          <cell r="EI192">
            <v>2890.7</v>
          </cell>
          <cell r="EJ192">
            <v>20.8</v>
          </cell>
          <cell r="EK192">
            <v>415.3</v>
          </cell>
          <cell r="EL192">
            <v>415.2998046875</v>
          </cell>
          <cell r="EM192">
            <v>261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30.3</v>
          </cell>
          <cell r="FB192">
            <v>1</v>
          </cell>
          <cell r="FC192">
            <v>1</v>
          </cell>
          <cell r="FD192">
            <v>0</v>
          </cell>
          <cell r="FE192">
            <v>0</v>
          </cell>
          <cell r="FF192">
            <v>17.940000000000001</v>
          </cell>
          <cell r="FG192">
            <v>17.939987182617188</v>
          </cell>
          <cell r="FH192">
            <v>17.939987182617188</v>
          </cell>
          <cell r="FI192">
            <v>43647</v>
          </cell>
          <cell r="FJ192">
            <v>15477</v>
          </cell>
          <cell r="FK192">
            <v>15477</v>
          </cell>
          <cell r="FL192">
            <v>3385</v>
          </cell>
          <cell r="FM192">
            <v>78.92</v>
          </cell>
          <cell r="FN192">
            <v>8474.4000000000015</v>
          </cell>
          <cell r="FO192">
            <v>25423.200000000004</v>
          </cell>
        </row>
        <row r="193">
          <cell r="AI193" t="str">
            <v>Ул. Мусоргского дом 13</v>
          </cell>
          <cell r="AJ193">
            <v>25423.1875</v>
          </cell>
          <cell r="AK193">
            <v>3177</v>
          </cell>
          <cell r="AL193">
            <v>2067.6999999999998</v>
          </cell>
          <cell r="AM193">
            <v>4</v>
          </cell>
          <cell r="AN193">
            <v>4</v>
          </cell>
          <cell r="AO193" t="str">
            <v>АО УЖХ Демского района</v>
          </cell>
          <cell r="AP193">
            <v>3092.4</v>
          </cell>
          <cell r="AQ193">
            <v>84.2</v>
          </cell>
          <cell r="AR193">
            <v>200</v>
          </cell>
          <cell r="AS193">
            <v>8</v>
          </cell>
          <cell r="AT193">
            <v>80</v>
          </cell>
          <cell r="AU193">
            <v>5</v>
          </cell>
          <cell r="AV193">
            <v>172</v>
          </cell>
          <cell r="AW193">
            <v>0</v>
          </cell>
          <cell r="AX193">
            <v>0</v>
          </cell>
          <cell r="AY193">
            <v>0</v>
          </cell>
          <cell r="AZ193">
            <v>916.3</v>
          </cell>
          <cell r="BA193">
            <v>2681.4</v>
          </cell>
          <cell r="BB193">
            <v>2681.3984375</v>
          </cell>
          <cell r="BC193" t="str">
            <v>Управляющая компания</v>
          </cell>
          <cell r="BD193" t="str">
            <v>1. Жилой дом</v>
          </cell>
          <cell r="BE193">
            <v>46.2</v>
          </cell>
          <cell r="BF193" t="str">
            <v>2.Чёрный</v>
          </cell>
          <cell r="BG193">
            <v>46.199981689453125</v>
          </cell>
          <cell r="BH193" t="str">
            <v>3.Водяной</v>
          </cell>
          <cell r="BI193" t="str">
            <v>МУП УИС</v>
          </cell>
          <cell r="BJ193" t="str">
            <v>1. Чугун</v>
          </cell>
          <cell r="BK193">
            <v>46.199981689453125</v>
          </cell>
          <cell r="BL193" t="str">
            <v>2.Кирпич</v>
          </cell>
          <cell r="BM193">
            <v>24108</v>
          </cell>
          <cell r="BN193">
            <v>80</v>
          </cell>
          <cell r="BO193" t="str">
            <v>Оборудован</v>
          </cell>
          <cell r="BP193" t="str">
            <v>1.Абсоцемент(шифер)</v>
          </cell>
          <cell r="BQ193" t="str">
            <v>1.Скатная</v>
          </cell>
          <cell r="BR193">
            <v>1117</v>
          </cell>
          <cell r="BS193">
            <v>885.7</v>
          </cell>
          <cell r="BT193">
            <v>885.69970703125</v>
          </cell>
          <cell r="BU193">
            <v>840</v>
          </cell>
          <cell r="BV193">
            <v>840</v>
          </cell>
          <cell r="BW193" t="str">
            <v>3.Частный жилищный фонд</v>
          </cell>
          <cell r="BX193">
            <v>80</v>
          </cell>
          <cell r="BY193">
            <v>0</v>
          </cell>
          <cell r="BZ193" t="str">
            <v>2-я</v>
          </cell>
          <cell r="CA193">
            <v>1</v>
          </cell>
          <cell r="CB193">
            <v>27.01</v>
          </cell>
          <cell r="CC193">
            <v>1</v>
          </cell>
          <cell r="CD193">
            <v>1</v>
          </cell>
          <cell r="CE193">
            <v>3176.6</v>
          </cell>
          <cell r="CF193" t="str">
            <v>ООО "Сфера"</v>
          </cell>
          <cell r="CG193">
            <v>78</v>
          </cell>
          <cell r="CH193">
            <v>2</v>
          </cell>
          <cell r="CI193">
            <v>2</v>
          </cell>
          <cell r="CJ193">
            <v>2</v>
          </cell>
          <cell r="CK193">
            <v>1</v>
          </cell>
          <cell r="CL193">
            <v>1</v>
          </cell>
          <cell r="CM193">
            <v>80</v>
          </cell>
          <cell r="CN193">
            <v>208</v>
          </cell>
          <cell r="CO193">
            <v>0</v>
          </cell>
          <cell r="CP193">
            <v>1933.7</v>
          </cell>
          <cell r="CQ193">
            <v>1933.69921875</v>
          </cell>
          <cell r="CR193">
            <v>1933.69921875</v>
          </cell>
          <cell r="CS193">
            <v>1</v>
          </cell>
          <cell r="CT193">
            <v>80</v>
          </cell>
          <cell r="CU193">
            <v>0</v>
          </cell>
          <cell r="CV193">
            <v>66</v>
          </cell>
          <cell r="CW193">
            <v>0</v>
          </cell>
          <cell r="CX193">
            <v>1</v>
          </cell>
          <cell r="CY193">
            <v>1</v>
          </cell>
          <cell r="CZ193">
            <v>12666</v>
          </cell>
          <cell r="DA193" t="str">
            <v>Демский</v>
          </cell>
          <cell r="DB193" t="str">
            <v>3.Сборные ж/б панели</v>
          </cell>
          <cell r="DC193">
            <v>12666</v>
          </cell>
          <cell r="DD193">
            <v>12666</v>
          </cell>
          <cell r="DE193">
            <v>12666</v>
          </cell>
          <cell r="DF193">
            <v>12666</v>
          </cell>
          <cell r="DG193">
            <v>12666</v>
          </cell>
          <cell r="DH193">
            <v>12666</v>
          </cell>
          <cell r="DI193">
            <v>12666</v>
          </cell>
          <cell r="DJ193">
            <v>12666</v>
          </cell>
          <cell r="DK193">
            <v>0</v>
          </cell>
          <cell r="DL193">
            <v>0</v>
          </cell>
          <cell r="DM193">
            <v>5715936</v>
          </cell>
          <cell r="DN193">
            <v>1</v>
          </cell>
          <cell r="DO193" t="str">
            <v>Отопление</v>
          </cell>
          <cell r="DP193" t="str">
            <v>УЖХ</v>
          </cell>
          <cell r="DQ193">
            <v>35591</v>
          </cell>
          <cell r="DR193">
            <v>0</v>
          </cell>
          <cell r="DS193">
            <v>80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 t="str">
            <v>3.Зависимая схема</v>
          </cell>
          <cell r="EE193" t="str">
            <v>Нижний</v>
          </cell>
          <cell r="EF193">
            <v>0</v>
          </cell>
          <cell r="EG193">
            <v>0</v>
          </cell>
          <cell r="EH193">
            <v>180</v>
          </cell>
          <cell r="EI193">
            <v>2501.4</v>
          </cell>
          <cell r="EJ193">
            <v>44</v>
          </cell>
          <cell r="EK193">
            <v>517.5</v>
          </cell>
          <cell r="EL193">
            <v>0</v>
          </cell>
          <cell r="EM193">
            <v>281.60000000000002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73.2</v>
          </cell>
          <cell r="FB193">
            <v>1</v>
          </cell>
          <cell r="FC193">
            <v>1</v>
          </cell>
          <cell r="FD193">
            <v>0</v>
          </cell>
          <cell r="FE193">
            <v>0</v>
          </cell>
          <cell r="FF193">
            <v>15.48</v>
          </cell>
          <cell r="FG193">
            <v>15.479995727539063</v>
          </cell>
          <cell r="FH193" t="str">
            <v>С УЛК (клининг)</v>
          </cell>
          <cell r="FI193">
            <v>44682</v>
          </cell>
          <cell r="FJ193">
            <v>15477</v>
          </cell>
          <cell r="FK193">
            <v>15477</v>
          </cell>
          <cell r="FL193">
            <v>4270.7</v>
          </cell>
          <cell r="FM193">
            <v>78.92</v>
          </cell>
          <cell r="FN193">
            <v>8474.4000000000015</v>
          </cell>
          <cell r="FO193">
            <v>25423.200000000004</v>
          </cell>
        </row>
        <row r="194">
          <cell r="AI194" t="str">
            <v>Ул. Мусоргского дом 13/а</v>
          </cell>
          <cell r="AJ194">
            <v>25423.1875</v>
          </cell>
          <cell r="AK194">
            <v>3390.3</v>
          </cell>
          <cell r="AL194">
            <v>2155.6</v>
          </cell>
          <cell r="AM194">
            <v>5</v>
          </cell>
          <cell r="AN194">
            <v>5</v>
          </cell>
          <cell r="AO194" t="str">
            <v>АО УЖХ Демского района</v>
          </cell>
          <cell r="AP194">
            <v>3390.3</v>
          </cell>
          <cell r="AQ194">
            <v>0</v>
          </cell>
          <cell r="AR194">
            <v>332.8</v>
          </cell>
          <cell r="AS194">
            <v>72.099999999999994</v>
          </cell>
          <cell r="AT194">
            <v>100</v>
          </cell>
          <cell r="AU194">
            <v>5</v>
          </cell>
          <cell r="AV194">
            <v>163</v>
          </cell>
          <cell r="AW194">
            <v>0</v>
          </cell>
          <cell r="AX194">
            <v>0</v>
          </cell>
          <cell r="AY194">
            <v>0</v>
          </cell>
          <cell r="AZ194">
            <v>1203.8</v>
          </cell>
          <cell r="BA194">
            <v>1605.7</v>
          </cell>
          <cell r="BB194">
            <v>1605.69921875</v>
          </cell>
          <cell r="BC194" t="str">
            <v>Управляющая компания</v>
          </cell>
          <cell r="BD194" t="str">
            <v>1. Жилой дом</v>
          </cell>
          <cell r="BE194">
            <v>46.2</v>
          </cell>
          <cell r="BF194" t="str">
            <v>2.Чёрный</v>
          </cell>
          <cell r="BG194">
            <v>46.199981689453125</v>
          </cell>
          <cell r="BH194" t="str">
            <v>3.Водяной</v>
          </cell>
          <cell r="BI194" t="str">
            <v>МУП УИС</v>
          </cell>
          <cell r="BJ194" t="str">
            <v>1. Чугун</v>
          </cell>
          <cell r="BK194">
            <v>46.199981689453125</v>
          </cell>
          <cell r="BL194" t="str">
            <v>9.Крупнопанел/блок</v>
          </cell>
          <cell r="BM194">
            <v>24108</v>
          </cell>
          <cell r="BN194">
            <v>100</v>
          </cell>
          <cell r="BO194" t="str">
            <v>Оборудован</v>
          </cell>
          <cell r="BP194" t="str">
            <v>1.Абсоцемент(шифер)</v>
          </cell>
          <cell r="BQ194" t="str">
            <v>1.Скатная</v>
          </cell>
          <cell r="BR194">
            <v>1117</v>
          </cell>
          <cell r="BS194">
            <v>859.3</v>
          </cell>
          <cell r="BT194">
            <v>859.2998046875</v>
          </cell>
          <cell r="BU194">
            <v>840</v>
          </cell>
          <cell r="BV194">
            <v>840</v>
          </cell>
          <cell r="BW194" t="str">
            <v>3.Частный жилищный фонд</v>
          </cell>
          <cell r="BX194">
            <v>100</v>
          </cell>
          <cell r="BY194">
            <v>0</v>
          </cell>
          <cell r="BZ194" t="str">
            <v>2-я</v>
          </cell>
          <cell r="CA194">
            <v>1</v>
          </cell>
          <cell r="CB194">
            <v>27.01</v>
          </cell>
          <cell r="CC194">
            <v>1</v>
          </cell>
          <cell r="CD194">
            <v>1</v>
          </cell>
          <cell r="CE194">
            <v>1</v>
          </cell>
          <cell r="CF194" t="str">
            <v>ООО "Сфера"</v>
          </cell>
          <cell r="CG194">
            <v>100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1</v>
          </cell>
          <cell r="CM194">
            <v>101</v>
          </cell>
          <cell r="CN194">
            <v>404.9</v>
          </cell>
          <cell r="CO194">
            <v>0</v>
          </cell>
          <cell r="CP194">
            <v>2104.1999999999998</v>
          </cell>
          <cell r="CQ194">
            <v>2104.19921875</v>
          </cell>
          <cell r="CR194">
            <v>2104.19921875</v>
          </cell>
          <cell r="CS194">
            <v>1</v>
          </cell>
          <cell r="CT194">
            <v>100</v>
          </cell>
          <cell r="CU194">
            <v>0</v>
          </cell>
          <cell r="CV194">
            <v>0</v>
          </cell>
          <cell r="CW194">
            <v>0</v>
          </cell>
          <cell r="CX194">
            <v>1</v>
          </cell>
          <cell r="CY194">
            <v>1</v>
          </cell>
          <cell r="CZ194">
            <v>14006</v>
          </cell>
          <cell r="DA194" t="str">
            <v>Демский</v>
          </cell>
          <cell r="DB194" t="str">
            <v>1.Плита монолит/бетон</v>
          </cell>
          <cell r="DC194">
            <v>14006</v>
          </cell>
          <cell r="DD194">
            <v>14006</v>
          </cell>
          <cell r="DE194">
            <v>14006</v>
          </cell>
          <cell r="DF194">
            <v>14006</v>
          </cell>
          <cell r="DG194">
            <v>14006</v>
          </cell>
          <cell r="DH194">
            <v>14006</v>
          </cell>
          <cell r="DI194">
            <v>14006</v>
          </cell>
          <cell r="DJ194">
            <v>14006</v>
          </cell>
          <cell r="DK194">
            <v>0</v>
          </cell>
          <cell r="DL194">
            <v>0</v>
          </cell>
          <cell r="DM194">
            <v>5595207</v>
          </cell>
          <cell r="DN194">
            <v>0</v>
          </cell>
          <cell r="DO194" t="str">
            <v>Отопление</v>
          </cell>
          <cell r="DP194" t="str">
            <v>УЖХ</v>
          </cell>
          <cell r="DQ194">
            <v>39174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 t="str">
            <v>3.Зависимая схема</v>
          </cell>
          <cell r="EE194" t="str">
            <v>Нижний</v>
          </cell>
          <cell r="EF194">
            <v>0</v>
          </cell>
          <cell r="EG194">
            <v>0</v>
          </cell>
          <cell r="EH194">
            <v>0</v>
          </cell>
          <cell r="EI194">
            <v>1605.7</v>
          </cell>
          <cell r="EJ194">
            <v>138</v>
          </cell>
          <cell r="EK194">
            <v>610.20000000000005</v>
          </cell>
          <cell r="EL194">
            <v>610.19970703125</v>
          </cell>
          <cell r="EM194">
            <v>402.7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52.9</v>
          </cell>
          <cell r="FB194">
            <v>1</v>
          </cell>
          <cell r="FC194">
            <v>1</v>
          </cell>
          <cell r="FD194">
            <v>0</v>
          </cell>
          <cell r="FE194">
            <v>0</v>
          </cell>
          <cell r="FF194">
            <v>16.96</v>
          </cell>
          <cell r="FG194">
            <v>16.959991455078125</v>
          </cell>
          <cell r="FH194" t="str">
            <v>С УЛК (ЖЭУ)</v>
          </cell>
          <cell r="FI194">
            <v>43666</v>
          </cell>
          <cell r="FJ194">
            <v>15477</v>
          </cell>
          <cell r="FK194">
            <v>15477</v>
          </cell>
          <cell r="FL194">
            <v>4654.5</v>
          </cell>
          <cell r="FM194">
            <v>78.92</v>
          </cell>
          <cell r="FN194">
            <v>10593</v>
          </cell>
          <cell r="FO194">
            <v>31779</v>
          </cell>
        </row>
        <row r="195">
          <cell r="AI195" t="str">
            <v>Ул. Мусоргского дом 15</v>
          </cell>
          <cell r="AJ195">
            <v>31779</v>
          </cell>
          <cell r="AK195">
            <v>3192.1</v>
          </cell>
          <cell r="AL195">
            <v>2077.3000000000002</v>
          </cell>
          <cell r="AM195">
            <v>4</v>
          </cell>
          <cell r="AN195">
            <v>4</v>
          </cell>
          <cell r="AO195" t="str">
            <v>АО УЖХ Демского района</v>
          </cell>
          <cell r="AP195">
            <v>3077.5</v>
          </cell>
          <cell r="AQ195">
            <v>115.3</v>
          </cell>
          <cell r="AR195">
            <v>200.5</v>
          </cell>
          <cell r="AS195">
            <v>7.9</v>
          </cell>
          <cell r="AT195">
            <v>80</v>
          </cell>
          <cell r="AU195">
            <v>5</v>
          </cell>
          <cell r="AV195">
            <v>176</v>
          </cell>
          <cell r="AW195">
            <v>0</v>
          </cell>
          <cell r="AX195">
            <v>0</v>
          </cell>
          <cell r="AY195">
            <v>0</v>
          </cell>
          <cell r="AZ195">
            <v>1062.5999999999999</v>
          </cell>
          <cell r="BA195">
            <v>2397.5</v>
          </cell>
          <cell r="BB195">
            <v>2397.5</v>
          </cell>
          <cell r="BC195" t="str">
            <v>Управляющая компания</v>
          </cell>
          <cell r="BD195" t="str">
            <v>1. Жилой дом</v>
          </cell>
          <cell r="BE195">
            <v>47</v>
          </cell>
          <cell r="BF195" t="str">
            <v>2.Чёрный</v>
          </cell>
          <cell r="BG195">
            <v>47</v>
          </cell>
          <cell r="BH195" t="str">
            <v>3.Водяной</v>
          </cell>
          <cell r="BI195" t="str">
            <v>МУП УИС</v>
          </cell>
          <cell r="BJ195" t="str">
            <v>1. Чугун</v>
          </cell>
          <cell r="BK195">
            <v>47</v>
          </cell>
          <cell r="BL195" t="str">
            <v>2.Кирпич</v>
          </cell>
          <cell r="BM195">
            <v>23743</v>
          </cell>
          <cell r="BN195">
            <v>80</v>
          </cell>
          <cell r="BO195" t="str">
            <v>Оборудован</v>
          </cell>
          <cell r="BP195" t="str">
            <v>1.Абсоцемент(шифер)</v>
          </cell>
          <cell r="BQ195" t="str">
            <v>1.Скатная</v>
          </cell>
          <cell r="BR195">
            <v>1117</v>
          </cell>
          <cell r="BS195">
            <v>886.5</v>
          </cell>
          <cell r="BT195">
            <v>886.5</v>
          </cell>
          <cell r="BU195">
            <v>720</v>
          </cell>
          <cell r="BV195">
            <v>720</v>
          </cell>
          <cell r="BW195" t="str">
            <v>3.Частный жилищный фонд</v>
          </cell>
          <cell r="BX195">
            <v>80</v>
          </cell>
          <cell r="BY195">
            <v>0</v>
          </cell>
          <cell r="BZ195" t="str">
            <v>2-я</v>
          </cell>
          <cell r="CA195">
            <v>1</v>
          </cell>
          <cell r="CB195">
            <v>27.01</v>
          </cell>
          <cell r="CC195">
            <v>1</v>
          </cell>
          <cell r="CD195">
            <v>1</v>
          </cell>
          <cell r="CE195">
            <v>3192.8</v>
          </cell>
          <cell r="CF195" t="str">
            <v>ООО "Сфера"</v>
          </cell>
          <cell r="CG195">
            <v>77</v>
          </cell>
          <cell r="CH195">
            <v>3</v>
          </cell>
          <cell r="CI195">
            <v>3</v>
          </cell>
          <cell r="CJ195">
            <v>3</v>
          </cell>
          <cell r="CK195">
            <v>1</v>
          </cell>
          <cell r="CL195">
            <v>1</v>
          </cell>
          <cell r="CM195">
            <v>80</v>
          </cell>
          <cell r="CN195">
            <v>208.4</v>
          </cell>
          <cell r="CO195">
            <v>0</v>
          </cell>
          <cell r="CP195">
            <v>1814.9</v>
          </cell>
          <cell r="CQ195">
            <v>1814.8994140625</v>
          </cell>
          <cell r="CR195">
            <v>1814.8994140625</v>
          </cell>
          <cell r="CS195">
            <v>1</v>
          </cell>
          <cell r="CT195">
            <v>80</v>
          </cell>
          <cell r="CU195">
            <v>0</v>
          </cell>
          <cell r="CV195">
            <v>66</v>
          </cell>
          <cell r="CW195">
            <v>0</v>
          </cell>
          <cell r="CX195">
            <v>1</v>
          </cell>
          <cell r="CY195">
            <v>1</v>
          </cell>
          <cell r="CZ195">
            <v>12766</v>
          </cell>
          <cell r="DA195" t="str">
            <v>Демский</v>
          </cell>
          <cell r="DB195" t="str">
            <v>3.Сборные ж/б панели</v>
          </cell>
          <cell r="DC195">
            <v>12766</v>
          </cell>
          <cell r="DD195">
            <v>12766</v>
          </cell>
          <cell r="DE195">
            <v>12766</v>
          </cell>
          <cell r="DF195">
            <v>12766</v>
          </cell>
          <cell r="DG195">
            <v>12766</v>
          </cell>
          <cell r="DH195">
            <v>12766</v>
          </cell>
          <cell r="DI195">
            <v>12766</v>
          </cell>
          <cell r="DJ195">
            <v>12766</v>
          </cell>
          <cell r="DK195">
            <v>0</v>
          </cell>
          <cell r="DL195">
            <v>0</v>
          </cell>
          <cell r="DM195">
            <v>5761034</v>
          </cell>
          <cell r="DN195">
            <v>3</v>
          </cell>
          <cell r="DO195" t="str">
            <v>Отопление</v>
          </cell>
          <cell r="DP195" t="str">
            <v>УЖХ</v>
          </cell>
          <cell r="DQ195">
            <v>35591</v>
          </cell>
          <cell r="DR195">
            <v>0</v>
          </cell>
          <cell r="DS195">
            <v>80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 t="str">
            <v>3.Зависимая схема</v>
          </cell>
          <cell r="EE195" t="str">
            <v>Верхний</v>
          </cell>
          <cell r="EF195">
            <v>0</v>
          </cell>
          <cell r="EG195">
            <v>0</v>
          </cell>
          <cell r="EH195">
            <v>0</v>
          </cell>
          <cell r="EI195">
            <v>2397.5</v>
          </cell>
          <cell r="EJ195">
            <v>162.5</v>
          </cell>
          <cell r="EK195">
            <v>436.1</v>
          </cell>
          <cell r="EL195">
            <v>436.099853515625</v>
          </cell>
          <cell r="EM195">
            <v>394.5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69.5</v>
          </cell>
          <cell r="FB195">
            <v>1</v>
          </cell>
          <cell r="FC195">
            <v>1</v>
          </cell>
          <cell r="FD195">
            <v>0</v>
          </cell>
          <cell r="FE195">
            <v>0</v>
          </cell>
          <cell r="FF195">
            <v>14.19</v>
          </cell>
          <cell r="FG195">
            <v>14.189994812011719</v>
          </cell>
          <cell r="FH195" t="str">
            <v>С УЛК (клининг)</v>
          </cell>
          <cell r="FI195">
            <v>44013</v>
          </cell>
          <cell r="FJ195">
            <v>15477</v>
          </cell>
          <cell r="FK195">
            <v>15477</v>
          </cell>
          <cell r="FL195">
            <v>4287</v>
          </cell>
          <cell r="FM195">
            <v>78.92</v>
          </cell>
          <cell r="FN195">
            <v>8474.4000000000015</v>
          </cell>
          <cell r="FO195">
            <v>25423.200000000004</v>
          </cell>
        </row>
        <row r="196">
          <cell r="AI196" t="str">
            <v>Ул. Мусоргского дом 15/а</v>
          </cell>
          <cell r="AJ196">
            <v>25423.1875</v>
          </cell>
          <cell r="AK196">
            <v>2561.8000000000002</v>
          </cell>
          <cell r="AL196">
            <v>1701</v>
          </cell>
          <cell r="AM196">
            <v>3</v>
          </cell>
          <cell r="AN196">
            <v>3</v>
          </cell>
          <cell r="AO196" t="str">
            <v>АО УЖХ Демского района</v>
          </cell>
          <cell r="AP196">
            <v>2459.8000000000002</v>
          </cell>
          <cell r="AQ196">
            <v>101.5</v>
          </cell>
          <cell r="AR196">
            <v>226.5</v>
          </cell>
          <cell r="AS196">
            <v>0</v>
          </cell>
          <cell r="AT196">
            <v>59</v>
          </cell>
          <cell r="AU196">
            <v>5</v>
          </cell>
          <cell r="AV196">
            <v>118</v>
          </cell>
          <cell r="AW196">
            <v>0</v>
          </cell>
          <cell r="AX196">
            <v>0</v>
          </cell>
          <cell r="AY196">
            <v>40.4</v>
          </cell>
          <cell r="AZ196">
            <v>1594.7</v>
          </cell>
          <cell r="BA196">
            <v>3183.7</v>
          </cell>
          <cell r="BB196">
            <v>3183.69921875</v>
          </cell>
          <cell r="BC196" t="str">
            <v>Управляющая компания</v>
          </cell>
          <cell r="BD196" t="str">
            <v>1. Жилой дом</v>
          </cell>
          <cell r="BE196">
            <v>47.8</v>
          </cell>
          <cell r="BF196" t="str">
            <v>2.Чёрный</v>
          </cell>
          <cell r="BG196">
            <v>47.79998779296875</v>
          </cell>
          <cell r="BH196" t="str">
            <v>3.Водяной</v>
          </cell>
          <cell r="BI196" t="str">
            <v>МУП УИС</v>
          </cell>
          <cell r="BJ196" t="str">
            <v>1. Чугун</v>
          </cell>
          <cell r="BK196">
            <v>47.79998779296875</v>
          </cell>
          <cell r="BL196" t="str">
            <v>8.Сборные ж/б</v>
          </cell>
          <cell r="BM196">
            <v>23377</v>
          </cell>
          <cell r="BN196">
            <v>59</v>
          </cell>
          <cell r="BO196" t="str">
            <v>Оборудован</v>
          </cell>
          <cell r="BP196" t="str">
            <v>8.Профнастил</v>
          </cell>
          <cell r="BQ196" t="str">
            <v>1.Скатная</v>
          </cell>
          <cell r="BR196">
            <v>839.9</v>
          </cell>
          <cell r="BS196">
            <v>646.1</v>
          </cell>
          <cell r="BT196">
            <v>646.099609375</v>
          </cell>
          <cell r="BU196">
            <v>840</v>
          </cell>
          <cell r="BV196">
            <v>840</v>
          </cell>
          <cell r="BW196" t="str">
            <v>3.Частный жилищный фонд</v>
          </cell>
          <cell r="BX196">
            <v>59</v>
          </cell>
          <cell r="BY196">
            <v>0</v>
          </cell>
          <cell r="BZ196" t="str">
            <v>2-я</v>
          </cell>
          <cell r="CA196">
            <v>1</v>
          </cell>
          <cell r="CB196">
            <v>27.01</v>
          </cell>
          <cell r="CC196">
            <v>1</v>
          </cell>
          <cell r="CD196">
            <v>1</v>
          </cell>
          <cell r="CE196">
            <v>2561.3000000000002</v>
          </cell>
          <cell r="CF196" t="str">
            <v>ООО "Сфера"</v>
          </cell>
          <cell r="CG196">
            <v>57</v>
          </cell>
          <cell r="CH196">
            <v>2</v>
          </cell>
          <cell r="CI196">
            <v>2</v>
          </cell>
          <cell r="CJ196">
            <v>2</v>
          </cell>
          <cell r="CK196">
            <v>0</v>
          </cell>
          <cell r="CL196">
            <v>1</v>
          </cell>
          <cell r="CM196">
            <v>59</v>
          </cell>
          <cell r="CN196">
            <v>226.5</v>
          </cell>
          <cell r="CO196">
            <v>0</v>
          </cell>
          <cell r="CP196">
            <v>1712.6</v>
          </cell>
          <cell r="CQ196">
            <v>1712.599609375</v>
          </cell>
          <cell r="CR196">
            <v>1712.599609375</v>
          </cell>
          <cell r="CS196">
            <v>1</v>
          </cell>
          <cell r="CT196">
            <v>60</v>
          </cell>
          <cell r="CU196">
            <v>0</v>
          </cell>
          <cell r="CV196">
            <v>38</v>
          </cell>
          <cell r="CW196">
            <v>0</v>
          </cell>
          <cell r="CX196">
            <v>1</v>
          </cell>
          <cell r="CY196">
            <v>1</v>
          </cell>
          <cell r="CZ196">
            <v>9045</v>
          </cell>
          <cell r="DA196" t="str">
            <v>Демский</v>
          </cell>
          <cell r="DB196" t="str">
            <v>3.Сборные ж/б панели</v>
          </cell>
          <cell r="DC196">
            <v>9045</v>
          </cell>
          <cell r="DD196">
            <v>9045</v>
          </cell>
          <cell r="DE196">
            <v>9045</v>
          </cell>
          <cell r="DF196">
            <v>9045</v>
          </cell>
          <cell r="DG196">
            <v>9045</v>
          </cell>
          <cell r="DH196">
            <v>9045</v>
          </cell>
          <cell r="DI196">
            <v>9045</v>
          </cell>
          <cell r="DJ196">
            <v>9045</v>
          </cell>
          <cell r="DK196">
            <v>0</v>
          </cell>
          <cell r="DL196">
            <v>0</v>
          </cell>
          <cell r="DM196">
            <v>4128032</v>
          </cell>
          <cell r="DN196">
            <v>3</v>
          </cell>
          <cell r="DO196" t="str">
            <v>Отопление</v>
          </cell>
          <cell r="DP196" t="str">
            <v>УЖХ</v>
          </cell>
          <cell r="DQ196">
            <v>35592</v>
          </cell>
          <cell r="DR196">
            <v>0</v>
          </cell>
          <cell r="DS196">
            <v>59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 t="str">
            <v>3.Зависимая схема</v>
          </cell>
          <cell r="EE196" t="str">
            <v>Верхний</v>
          </cell>
          <cell r="EF196">
            <v>0</v>
          </cell>
          <cell r="EG196">
            <v>0</v>
          </cell>
          <cell r="EH196">
            <v>170</v>
          </cell>
          <cell r="EI196">
            <v>3013.7</v>
          </cell>
          <cell r="EJ196">
            <v>216</v>
          </cell>
          <cell r="EK196">
            <v>833.4</v>
          </cell>
          <cell r="EL196">
            <v>300</v>
          </cell>
          <cell r="EM196">
            <v>188.2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57.1</v>
          </cell>
          <cell r="FB196">
            <v>1</v>
          </cell>
          <cell r="FC196">
            <v>1</v>
          </cell>
          <cell r="FD196">
            <v>0</v>
          </cell>
          <cell r="FE196">
            <v>0</v>
          </cell>
          <cell r="FF196">
            <v>16.78</v>
          </cell>
          <cell r="FG196">
            <v>16.779998779296875</v>
          </cell>
          <cell r="FH196" t="str">
            <v>С УЛК (клининг)</v>
          </cell>
          <cell r="FI196">
            <v>43554</v>
          </cell>
          <cell r="FJ196">
            <v>15477</v>
          </cell>
          <cell r="FK196">
            <v>15477</v>
          </cell>
          <cell r="FL196">
            <v>3474.8</v>
          </cell>
          <cell r="FM196">
            <v>78.92</v>
          </cell>
          <cell r="FN196">
            <v>6249.87</v>
          </cell>
          <cell r="FO196">
            <v>18749.61</v>
          </cell>
        </row>
        <row r="197">
          <cell r="AI197" t="str">
            <v>Ул. Мусоргского дом 17</v>
          </cell>
          <cell r="AJ197">
            <v>18749.609375</v>
          </cell>
          <cell r="AK197">
            <v>3523.3</v>
          </cell>
          <cell r="AL197">
            <v>2320.6</v>
          </cell>
          <cell r="AM197">
            <v>4</v>
          </cell>
          <cell r="AN197">
            <v>4</v>
          </cell>
          <cell r="AO197" t="str">
            <v>АО УЖХ Демского района</v>
          </cell>
          <cell r="AP197">
            <v>3323</v>
          </cell>
          <cell r="AQ197">
            <v>200.3</v>
          </cell>
          <cell r="AR197">
            <v>297.5</v>
          </cell>
          <cell r="AS197">
            <v>0</v>
          </cell>
          <cell r="AT197">
            <v>80</v>
          </cell>
          <cell r="AU197">
            <v>5</v>
          </cell>
          <cell r="AV197">
            <v>181</v>
          </cell>
          <cell r="AW197">
            <v>0</v>
          </cell>
          <cell r="AX197">
            <v>0</v>
          </cell>
          <cell r="AY197">
            <v>0</v>
          </cell>
          <cell r="AZ197">
            <v>986.1</v>
          </cell>
          <cell r="BA197">
            <v>4636.3</v>
          </cell>
          <cell r="BB197">
            <v>4636.296875</v>
          </cell>
          <cell r="BC197" t="str">
            <v>Управляющая компания</v>
          </cell>
          <cell r="BD197" t="str">
            <v>1. Жилой дом</v>
          </cell>
          <cell r="BE197">
            <v>47.8</v>
          </cell>
          <cell r="BF197" t="str">
            <v>2.Чёрный</v>
          </cell>
          <cell r="BG197">
            <v>47.79998779296875</v>
          </cell>
          <cell r="BH197" t="str">
            <v>3.Водяной</v>
          </cell>
          <cell r="BI197" t="str">
            <v>МУП УИС</v>
          </cell>
          <cell r="BJ197" t="str">
            <v>1. Чугун</v>
          </cell>
          <cell r="BK197">
            <v>47.79998779296875</v>
          </cell>
          <cell r="BL197" t="str">
            <v>8.Сборные ж/б</v>
          </cell>
          <cell r="BM197">
            <v>23377</v>
          </cell>
          <cell r="BN197">
            <v>80</v>
          </cell>
          <cell r="BO197" t="str">
            <v>Оборудован</v>
          </cell>
          <cell r="BP197" t="str">
            <v>8.Профнастил</v>
          </cell>
          <cell r="BQ197" t="str">
            <v>1.Скатная</v>
          </cell>
          <cell r="BR197">
            <v>1147</v>
          </cell>
          <cell r="BS197">
            <v>882.1</v>
          </cell>
          <cell r="BT197">
            <v>882.099609375</v>
          </cell>
          <cell r="BU197">
            <v>720</v>
          </cell>
          <cell r="BV197">
            <v>720</v>
          </cell>
          <cell r="BW197" t="str">
            <v>3.Частный жилищный фонд</v>
          </cell>
          <cell r="BX197">
            <v>80</v>
          </cell>
          <cell r="BY197">
            <v>0</v>
          </cell>
          <cell r="BZ197" t="str">
            <v>2-я</v>
          </cell>
          <cell r="CA197">
            <v>1</v>
          </cell>
          <cell r="CB197">
            <v>27.01</v>
          </cell>
          <cell r="CC197">
            <v>1</v>
          </cell>
          <cell r="CD197">
            <v>1</v>
          </cell>
          <cell r="CE197">
            <v>3523.3</v>
          </cell>
          <cell r="CF197" t="str">
            <v>ООО "Сфера"</v>
          </cell>
          <cell r="CG197">
            <v>76</v>
          </cell>
          <cell r="CH197">
            <v>4</v>
          </cell>
          <cell r="CI197">
            <v>4</v>
          </cell>
          <cell r="CJ197">
            <v>4</v>
          </cell>
          <cell r="CK197">
            <v>0</v>
          </cell>
          <cell r="CL197">
            <v>1</v>
          </cell>
          <cell r="CM197">
            <v>81</v>
          </cell>
          <cell r="CN197">
            <v>297.5</v>
          </cell>
          <cell r="CO197">
            <v>0</v>
          </cell>
          <cell r="CP197">
            <v>1899.6</v>
          </cell>
          <cell r="CQ197">
            <v>1899.599609375</v>
          </cell>
          <cell r="CR197">
            <v>1899.599609375</v>
          </cell>
          <cell r="CS197">
            <v>1</v>
          </cell>
          <cell r="CT197">
            <v>80</v>
          </cell>
          <cell r="CU197">
            <v>0</v>
          </cell>
          <cell r="CV197">
            <v>58</v>
          </cell>
          <cell r="CW197">
            <v>0</v>
          </cell>
          <cell r="CX197">
            <v>1</v>
          </cell>
          <cell r="CY197">
            <v>1</v>
          </cell>
          <cell r="CZ197">
            <v>12260</v>
          </cell>
          <cell r="DA197" t="str">
            <v>Демский</v>
          </cell>
          <cell r="DB197" t="str">
            <v>3.Сборные ж/б панели</v>
          </cell>
          <cell r="DC197">
            <v>12260</v>
          </cell>
          <cell r="DD197">
            <v>12260</v>
          </cell>
          <cell r="DE197">
            <v>12260</v>
          </cell>
          <cell r="DF197">
            <v>12260</v>
          </cell>
          <cell r="DG197">
            <v>12260</v>
          </cell>
          <cell r="DH197">
            <v>12260</v>
          </cell>
          <cell r="DI197">
            <v>12260</v>
          </cell>
          <cell r="DJ197">
            <v>12260</v>
          </cell>
          <cell r="DK197">
            <v>0</v>
          </cell>
          <cell r="DL197">
            <v>0</v>
          </cell>
          <cell r="DM197">
            <v>6379518</v>
          </cell>
          <cell r="DN197">
            <v>4</v>
          </cell>
          <cell r="DO197" t="str">
            <v>Отопление</v>
          </cell>
          <cell r="DP197" t="str">
            <v>УЖХ</v>
          </cell>
          <cell r="DQ197">
            <v>35592</v>
          </cell>
          <cell r="DR197">
            <v>0</v>
          </cell>
          <cell r="DS197">
            <v>80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 t="str">
            <v>3.Зависимая схема</v>
          </cell>
          <cell r="EE197" t="str">
            <v>Верхний</v>
          </cell>
          <cell r="EF197">
            <v>0</v>
          </cell>
          <cell r="EG197">
            <v>0</v>
          </cell>
          <cell r="EH197">
            <v>0</v>
          </cell>
          <cell r="EI197">
            <v>4636.3</v>
          </cell>
          <cell r="EJ197">
            <v>89.3</v>
          </cell>
          <cell r="EK197">
            <v>361</v>
          </cell>
          <cell r="EL197">
            <v>361</v>
          </cell>
          <cell r="EM197">
            <v>475.8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60</v>
          </cell>
          <cell r="FB197">
            <v>1</v>
          </cell>
          <cell r="FC197">
            <v>1</v>
          </cell>
          <cell r="FD197">
            <v>0</v>
          </cell>
          <cell r="FE197">
            <v>0</v>
          </cell>
          <cell r="FF197">
            <v>15.48</v>
          </cell>
          <cell r="FG197">
            <v>15.479995727539063</v>
          </cell>
          <cell r="FH197" t="str">
            <v>С УЛК (ЖЭУ)</v>
          </cell>
          <cell r="FI197">
            <v>44682</v>
          </cell>
          <cell r="FJ197">
            <v>15477</v>
          </cell>
          <cell r="FK197">
            <v>15477</v>
          </cell>
          <cell r="FL197">
            <v>4702.8999999999996</v>
          </cell>
          <cell r="FM197">
            <v>78.92</v>
          </cell>
          <cell r="FN197">
            <v>8474.4000000000015</v>
          </cell>
          <cell r="FO197">
            <v>25423.200000000004</v>
          </cell>
        </row>
        <row r="198">
          <cell r="AI198" t="str">
            <v>Ул. Мусоргского дом 19/1</v>
          </cell>
          <cell r="AJ198">
            <v>25423.1875</v>
          </cell>
          <cell r="AK198">
            <v>4258.1000000000004</v>
          </cell>
          <cell r="AL198">
            <v>2819.4</v>
          </cell>
          <cell r="AM198">
            <v>6</v>
          </cell>
          <cell r="AN198">
            <v>6</v>
          </cell>
          <cell r="AO198" t="str">
            <v>АО УЖХ Демского района</v>
          </cell>
          <cell r="AP198">
            <v>4213</v>
          </cell>
          <cell r="AQ198">
            <v>45</v>
          </cell>
          <cell r="AR198">
            <v>374.4</v>
          </cell>
          <cell r="AS198">
            <v>0</v>
          </cell>
          <cell r="AT198">
            <v>95</v>
          </cell>
          <cell r="AU198">
            <v>5</v>
          </cell>
          <cell r="AV198">
            <v>225</v>
          </cell>
          <cell r="AW198">
            <v>0</v>
          </cell>
          <cell r="AX198">
            <v>0</v>
          </cell>
          <cell r="AY198">
            <v>230.1</v>
          </cell>
          <cell r="AZ198">
            <v>1506.1</v>
          </cell>
          <cell r="BA198">
            <v>1919</v>
          </cell>
          <cell r="BB198">
            <v>1919</v>
          </cell>
          <cell r="BC198" t="str">
            <v>Управляющая компания</v>
          </cell>
          <cell r="BD198" t="str">
            <v>1. Жилой дом</v>
          </cell>
          <cell r="BE198">
            <v>40.6</v>
          </cell>
          <cell r="BF198" t="str">
            <v>2.Чёрный</v>
          </cell>
          <cell r="BG198">
            <v>40.5999755859375</v>
          </cell>
          <cell r="BH198" t="str">
            <v>3.Водяной</v>
          </cell>
          <cell r="BI198" t="str">
            <v>МУП УИС</v>
          </cell>
          <cell r="BJ198" t="str">
            <v>1. Чугун</v>
          </cell>
          <cell r="BK198">
            <v>40.5999755859375</v>
          </cell>
          <cell r="BL198" t="str">
            <v>2.Кирпич</v>
          </cell>
          <cell r="BM198">
            <v>26665</v>
          </cell>
          <cell r="BN198">
            <v>95</v>
          </cell>
          <cell r="BO198" t="str">
            <v>Оборудован</v>
          </cell>
          <cell r="BP198" t="str">
            <v>4.Мягк/рулонная</v>
          </cell>
          <cell r="BQ198" t="str">
            <v>2.Плоская</v>
          </cell>
          <cell r="BR198">
            <v>1394</v>
          </cell>
          <cell r="BS198">
            <v>0</v>
          </cell>
          <cell r="BT198">
            <v>0</v>
          </cell>
          <cell r="BU198">
            <v>840</v>
          </cell>
          <cell r="BV198">
            <v>840</v>
          </cell>
          <cell r="BW198" t="str">
            <v>3.Частный жилищный фонд</v>
          </cell>
          <cell r="BX198">
            <v>95</v>
          </cell>
          <cell r="BY198">
            <v>0</v>
          </cell>
          <cell r="BZ198" t="str">
            <v>2-я</v>
          </cell>
          <cell r="CA198">
            <v>1</v>
          </cell>
          <cell r="CB198">
            <v>27.01</v>
          </cell>
          <cell r="CC198">
            <v>1</v>
          </cell>
          <cell r="CD198">
            <v>1</v>
          </cell>
          <cell r="CE198">
            <v>4258</v>
          </cell>
          <cell r="CF198" t="str">
            <v>ООО "Сфера"</v>
          </cell>
          <cell r="CG198">
            <v>94</v>
          </cell>
          <cell r="CH198">
            <v>1</v>
          </cell>
          <cell r="CI198">
            <v>1</v>
          </cell>
          <cell r="CJ198">
            <v>1</v>
          </cell>
          <cell r="CK198">
            <v>0</v>
          </cell>
          <cell r="CL198">
            <v>1</v>
          </cell>
          <cell r="CM198">
            <v>95</v>
          </cell>
          <cell r="CN198">
            <v>374.4</v>
          </cell>
          <cell r="CO198">
            <v>0</v>
          </cell>
          <cell r="CP198">
            <v>1214.4000000000001</v>
          </cell>
          <cell r="CQ198">
            <v>1214.3994140625</v>
          </cell>
          <cell r="CR198">
            <v>1214.3994140625</v>
          </cell>
          <cell r="CS198">
            <v>2</v>
          </cell>
          <cell r="CT198">
            <v>95</v>
          </cell>
          <cell r="CU198">
            <v>0</v>
          </cell>
          <cell r="CV198">
            <v>73</v>
          </cell>
          <cell r="CW198">
            <v>0</v>
          </cell>
          <cell r="CX198">
            <v>2</v>
          </cell>
          <cell r="CY198">
            <v>2</v>
          </cell>
          <cell r="CZ198">
            <v>17735</v>
          </cell>
          <cell r="DA198" t="str">
            <v>Демский</v>
          </cell>
          <cell r="DB198" t="str">
            <v>3.Сборные ж/б панели</v>
          </cell>
          <cell r="DC198">
            <v>17735</v>
          </cell>
          <cell r="DD198">
            <v>17735</v>
          </cell>
          <cell r="DE198">
            <v>17735</v>
          </cell>
          <cell r="DF198">
            <v>17735</v>
          </cell>
          <cell r="DG198">
            <v>17735</v>
          </cell>
          <cell r="DH198">
            <v>17735</v>
          </cell>
          <cell r="DI198">
            <v>17735</v>
          </cell>
          <cell r="DJ198">
            <v>17735</v>
          </cell>
          <cell r="DK198">
            <v>0</v>
          </cell>
          <cell r="DL198">
            <v>0</v>
          </cell>
          <cell r="DM198">
            <v>8118066</v>
          </cell>
          <cell r="DN198">
            <v>6</v>
          </cell>
          <cell r="DO198" t="str">
            <v>Отопление</v>
          </cell>
          <cell r="DP198" t="str">
            <v>УЖХ</v>
          </cell>
          <cell r="DQ198">
            <v>39174</v>
          </cell>
          <cell r="DR198">
            <v>0</v>
          </cell>
          <cell r="DS198">
            <v>95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0</v>
          </cell>
          <cell r="EA198">
            <v>0</v>
          </cell>
          <cell r="EB198">
            <v>0</v>
          </cell>
          <cell r="EC198">
            <v>0</v>
          </cell>
          <cell r="ED198" t="str">
            <v>3.Зависимая схема</v>
          </cell>
          <cell r="EE198" t="str">
            <v>Нижний</v>
          </cell>
          <cell r="EF198">
            <v>0</v>
          </cell>
          <cell r="EG198">
            <v>0</v>
          </cell>
          <cell r="EH198">
            <v>43.1</v>
          </cell>
          <cell r="EI198">
            <v>1875.9</v>
          </cell>
          <cell r="EJ198">
            <v>1875.8994140625</v>
          </cell>
          <cell r="EK198">
            <v>1052.4000000000001</v>
          </cell>
          <cell r="EL198">
            <v>1052.3994140625</v>
          </cell>
          <cell r="EM198">
            <v>387.7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T198">
            <v>0</v>
          </cell>
          <cell r="EU198">
            <v>0</v>
          </cell>
          <cell r="EV198">
            <v>0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66</v>
          </cell>
          <cell r="FB198">
            <v>1</v>
          </cell>
          <cell r="FC198">
            <v>1</v>
          </cell>
          <cell r="FD198">
            <v>0</v>
          </cell>
          <cell r="FE198">
            <v>0</v>
          </cell>
          <cell r="FF198">
            <v>15.48</v>
          </cell>
          <cell r="FG198">
            <v>2</v>
          </cell>
          <cell r="FH198" t="str">
            <v>С УЛК (клининг)</v>
          </cell>
          <cell r="FI198">
            <v>44682</v>
          </cell>
          <cell r="FJ198">
            <v>15477</v>
          </cell>
          <cell r="FK198">
            <v>15477</v>
          </cell>
          <cell r="FL198">
            <v>4862.6000000000004</v>
          </cell>
          <cell r="FM198">
            <v>78.92</v>
          </cell>
          <cell r="FN198">
            <v>10063.35</v>
          </cell>
          <cell r="FO198">
            <v>30190.050000000003</v>
          </cell>
        </row>
        <row r="199">
          <cell r="AI199" t="str">
            <v>Ул. Мусоргского дом 19/а</v>
          </cell>
          <cell r="AJ199">
            <v>30190.046875</v>
          </cell>
          <cell r="AK199">
            <v>2587.6999999999998</v>
          </cell>
          <cell r="AL199">
            <v>1712.9</v>
          </cell>
          <cell r="AM199">
            <v>4</v>
          </cell>
          <cell r="AN199">
            <v>4</v>
          </cell>
          <cell r="AO199" t="str">
            <v>АО УЖХ Демского района</v>
          </cell>
          <cell r="AP199">
            <v>2552</v>
          </cell>
          <cell r="AQ199">
            <v>32.299999999999997</v>
          </cell>
          <cell r="AR199">
            <v>225.2</v>
          </cell>
          <cell r="AS199">
            <v>7.4</v>
          </cell>
          <cell r="AT199">
            <v>64</v>
          </cell>
          <cell r="AU199">
            <v>5</v>
          </cell>
          <cell r="AV199">
            <v>128</v>
          </cell>
          <cell r="AW199">
            <v>0</v>
          </cell>
          <cell r="AX199">
            <v>0</v>
          </cell>
          <cell r="AY199">
            <v>688.4</v>
          </cell>
          <cell r="AZ199">
            <v>1698.8</v>
          </cell>
          <cell r="BA199">
            <v>900</v>
          </cell>
          <cell r="BB199">
            <v>900</v>
          </cell>
          <cell r="BC199" t="str">
            <v>Управляющая компания</v>
          </cell>
          <cell r="BD199" t="str">
            <v>1. Жилой дом</v>
          </cell>
          <cell r="BE199">
            <v>47.8</v>
          </cell>
          <cell r="BF199" t="str">
            <v>2.Чёрный</v>
          </cell>
          <cell r="BG199">
            <v>47.79998779296875</v>
          </cell>
          <cell r="BH199" t="str">
            <v>3.Водяной</v>
          </cell>
          <cell r="BI199" t="str">
            <v>МУП УИС</v>
          </cell>
          <cell r="BJ199" t="str">
            <v>1. Чугун</v>
          </cell>
          <cell r="BK199">
            <v>47.79998779296875</v>
          </cell>
          <cell r="BL199" t="str">
            <v>2.Кирпич</v>
          </cell>
          <cell r="BM199">
            <v>23377</v>
          </cell>
          <cell r="BN199">
            <v>64</v>
          </cell>
          <cell r="BO199" t="str">
            <v>Оборудован</v>
          </cell>
          <cell r="BP199" t="str">
            <v>1.Абсоцемент(шифер)</v>
          </cell>
          <cell r="BQ199" t="str">
            <v>1.Скатная</v>
          </cell>
          <cell r="BR199">
            <v>1147.9000000000001</v>
          </cell>
          <cell r="BS199">
            <v>883</v>
          </cell>
          <cell r="BT199">
            <v>883</v>
          </cell>
          <cell r="BU199">
            <v>883</v>
          </cell>
          <cell r="BV199">
            <v>0</v>
          </cell>
          <cell r="BW199" t="str">
            <v>3.Частный жилищный фонд</v>
          </cell>
          <cell r="BX199">
            <v>64</v>
          </cell>
          <cell r="BY199">
            <v>0</v>
          </cell>
          <cell r="BZ199" t="str">
            <v>2-я</v>
          </cell>
          <cell r="CA199">
            <v>1</v>
          </cell>
          <cell r="CB199">
            <v>27.01</v>
          </cell>
          <cell r="CC199">
            <v>1</v>
          </cell>
          <cell r="CD199">
            <v>1</v>
          </cell>
          <cell r="CE199">
            <v>2584.3000000000002</v>
          </cell>
          <cell r="CF199" t="str">
            <v>ООО "Сфера"</v>
          </cell>
          <cell r="CG199">
            <v>63</v>
          </cell>
          <cell r="CH199">
            <v>1</v>
          </cell>
          <cell r="CI199">
            <v>1</v>
          </cell>
          <cell r="CJ199">
            <v>1</v>
          </cell>
          <cell r="CK199">
            <v>0</v>
          </cell>
          <cell r="CL199">
            <v>1</v>
          </cell>
          <cell r="CM199">
            <v>65</v>
          </cell>
          <cell r="CN199">
            <v>232.6</v>
          </cell>
          <cell r="CO199">
            <v>0</v>
          </cell>
          <cell r="CP199">
            <v>1115.5999999999999</v>
          </cell>
          <cell r="CQ199">
            <v>1115.599609375</v>
          </cell>
          <cell r="CR199">
            <v>1115.599609375</v>
          </cell>
          <cell r="CS199">
            <v>1</v>
          </cell>
          <cell r="CT199">
            <v>64</v>
          </cell>
          <cell r="CU199">
            <v>0</v>
          </cell>
          <cell r="CV199">
            <v>50</v>
          </cell>
          <cell r="CW199">
            <v>0</v>
          </cell>
          <cell r="CX199">
            <v>1</v>
          </cell>
          <cell r="CY199">
            <v>1</v>
          </cell>
          <cell r="CZ199">
            <v>15729</v>
          </cell>
          <cell r="DA199" t="str">
            <v>Демский</v>
          </cell>
          <cell r="DB199" t="str">
            <v>3.Сборные ж/б панели</v>
          </cell>
          <cell r="DC199">
            <v>15729</v>
          </cell>
          <cell r="DD199">
            <v>15729</v>
          </cell>
          <cell r="DE199">
            <v>15729</v>
          </cell>
          <cell r="DF199">
            <v>15729</v>
          </cell>
          <cell r="DG199">
            <v>15729</v>
          </cell>
          <cell r="DH199">
            <v>15729</v>
          </cell>
          <cell r="DI199">
            <v>15729</v>
          </cell>
          <cell r="DJ199">
            <v>15729</v>
          </cell>
          <cell r="DK199">
            <v>0</v>
          </cell>
          <cell r="DL199">
            <v>0</v>
          </cell>
          <cell r="DM199">
            <v>6865827</v>
          </cell>
          <cell r="DN199">
            <v>4</v>
          </cell>
          <cell r="DO199" t="str">
            <v>Отопление</v>
          </cell>
          <cell r="DP199" t="str">
            <v>УЖХ</v>
          </cell>
          <cell r="DQ199">
            <v>40319</v>
          </cell>
          <cell r="DR199">
            <v>0</v>
          </cell>
          <cell r="DS199">
            <v>64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0</v>
          </cell>
          <cell r="ED199" t="str">
            <v>3.Зависимая схема</v>
          </cell>
          <cell r="EE199" t="str">
            <v>Верхний</v>
          </cell>
          <cell r="EF199">
            <v>0</v>
          </cell>
          <cell r="EG199">
            <v>0</v>
          </cell>
          <cell r="EH199">
            <v>20</v>
          </cell>
          <cell r="EI199">
            <v>880</v>
          </cell>
          <cell r="EJ199">
            <v>880</v>
          </cell>
          <cell r="EK199">
            <v>1627.8</v>
          </cell>
          <cell r="EL199">
            <v>1627.7998046875</v>
          </cell>
          <cell r="EM199">
            <v>51</v>
          </cell>
          <cell r="EN199">
            <v>4</v>
          </cell>
          <cell r="EO199">
            <v>4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T199">
            <v>0</v>
          </cell>
          <cell r="EU199">
            <v>0</v>
          </cell>
          <cell r="EV199">
            <v>0</v>
          </cell>
          <cell r="EW199">
            <v>20</v>
          </cell>
          <cell r="EX199">
            <v>1</v>
          </cell>
          <cell r="EY199">
            <v>1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</v>
          </cell>
          <cell r="FE199">
            <v>0</v>
          </cell>
          <cell r="FF199">
            <v>17.39</v>
          </cell>
          <cell r="FG199">
            <v>17.389999389648438</v>
          </cell>
          <cell r="FH199" t="str">
            <v>С УЛК (клининг)</v>
          </cell>
          <cell r="FI199">
            <v>43586</v>
          </cell>
          <cell r="FJ199">
            <v>15477</v>
          </cell>
          <cell r="FK199">
            <v>15477</v>
          </cell>
          <cell r="FL199">
            <v>4391.7</v>
          </cell>
          <cell r="FM199">
            <v>78.92</v>
          </cell>
          <cell r="FN199">
            <v>6779.52</v>
          </cell>
          <cell r="FO199">
            <v>20338.560000000001</v>
          </cell>
        </row>
        <row r="200">
          <cell r="AI200" t="str">
            <v>Ул. Мусоргского дом 19/б</v>
          </cell>
          <cell r="AJ200">
            <v>20338.546875</v>
          </cell>
          <cell r="AK200">
            <v>2578.8000000000002</v>
          </cell>
          <cell r="AL200">
            <v>1689.2</v>
          </cell>
          <cell r="AM200">
            <v>4</v>
          </cell>
          <cell r="AN200">
            <v>4</v>
          </cell>
          <cell r="AO200" t="str">
            <v>АО УЖХ Демского района</v>
          </cell>
          <cell r="AP200">
            <v>2493.1999999999998</v>
          </cell>
          <cell r="AQ200">
            <v>85.2</v>
          </cell>
          <cell r="AR200">
            <v>227.6</v>
          </cell>
          <cell r="AS200">
            <v>14.6</v>
          </cell>
          <cell r="AT200">
            <v>64</v>
          </cell>
          <cell r="AU200">
            <v>5</v>
          </cell>
          <cell r="AV200">
            <v>140</v>
          </cell>
          <cell r="AW200">
            <v>0</v>
          </cell>
          <cell r="AX200">
            <v>0</v>
          </cell>
          <cell r="AY200">
            <v>757.3</v>
          </cell>
          <cell r="AZ200">
            <v>1678</v>
          </cell>
          <cell r="BA200">
            <v>1525.84</v>
          </cell>
          <cell r="BB200">
            <v>1525.83984375</v>
          </cell>
          <cell r="BC200" t="str">
            <v>Управляющая компания</v>
          </cell>
          <cell r="BD200" t="str">
            <v>1. Жилой дом</v>
          </cell>
          <cell r="BE200">
            <v>44.6</v>
          </cell>
          <cell r="BF200" t="str">
            <v>2.Чёрный</v>
          </cell>
          <cell r="BG200">
            <v>44.5999755859375</v>
          </cell>
          <cell r="BH200" t="str">
            <v>3.Водяной</v>
          </cell>
          <cell r="BI200" t="str">
            <v>МУП УИС</v>
          </cell>
          <cell r="BJ200" t="str">
            <v>1. Чугун</v>
          </cell>
          <cell r="BK200">
            <v>44.5999755859375</v>
          </cell>
          <cell r="BL200" t="str">
            <v>2.Кирпич</v>
          </cell>
          <cell r="BM200">
            <v>24838</v>
          </cell>
          <cell r="BN200">
            <v>64</v>
          </cell>
          <cell r="BO200" t="str">
            <v>Оборудован</v>
          </cell>
          <cell r="BP200" t="str">
            <v>1.Абсоцемент(шифер)</v>
          </cell>
          <cell r="BQ200" t="str">
            <v>1.Скатная</v>
          </cell>
          <cell r="BR200">
            <v>1159.9000000000001</v>
          </cell>
          <cell r="BS200">
            <v>891.9</v>
          </cell>
          <cell r="BT200">
            <v>891.89990234375</v>
          </cell>
          <cell r="BU200">
            <v>891.89990234375</v>
          </cell>
          <cell r="BV200">
            <v>0</v>
          </cell>
          <cell r="BW200" t="str">
            <v>3.Частный жилищный фонд</v>
          </cell>
          <cell r="BX200">
            <v>64</v>
          </cell>
          <cell r="BY200">
            <v>0</v>
          </cell>
          <cell r="BZ200" t="str">
            <v>2-я</v>
          </cell>
          <cell r="CA200">
            <v>1</v>
          </cell>
          <cell r="CB200">
            <v>27.01</v>
          </cell>
          <cell r="CC200">
            <v>1</v>
          </cell>
          <cell r="CD200">
            <v>1</v>
          </cell>
          <cell r="CE200">
            <v>2578.4</v>
          </cell>
          <cell r="CF200" t="str">
            <v>ООО "Сфера"</v>
          </cell>
          <cell r="CG200">
            <v>62</v>
          </cell>
          <cell r="CH200">
            <v>2</v>
          </cell>
          <cell r="CI200">
            <v>2</v>
          </cell>
          <cell r="CJ200">
            <v>2</v>
          </cell>
          <cell r="CK200">
            <v>0</v>
          </cell>
          <cell r="CL200">
            <v>1</v>
          </cell>
          <cell r="CM200">
            <v>68</v>
          </cell>
          <cell r="CN200">
            <v>242.2</v>
          </cell>
          <cell r="CO200">
            <v>0</v>
          </cell>
          <cell r="CP200">
            <v>1134.0999999999999</v>
          </cell>
          <cell r="CQ200">
            <v>1134.099609375</v>
          </cell>
          <cell r="CR200">
            <v>1134.099609375</v>
          </cell>
          <cell r="CS200">
            <v>1</v>
          </cell>
          <cell r="CT200">
            <v>64</v>
          </cell>
          <cell r="CU200">
            <v>0</v>
          </cell>
          <cell r="CV200">
            <v>45</v>
          </cell>
          <cell r="CW200">
            <v>0</v>
          </cell>
          <cell r="CX200">
            <v>1</v>
          </cell>
          <cell r="CY200">
            <v>1</v>
          </cell>
          <cell r="CZ200">
            <v>13862</v>
          </cell>
          <cell r="DA200" t="str">
            <v>Демский</v>
          </cell>
          <cell r="DB200" t="str">
            <v>3.Сборные ж/б панели</v>
          </cell>
          <cell r="DC200">
            <v>13862</v>
          </cell>
          <cell r="DD200">
            <v>13862</v>
          </cell>
          <cell r="DE200">
            <v>13862</v>
          </cell>
          <cell r="DF200">
            <v>13862</v>
          </cell>
          <cell r="DG200">
            <v>13862</v>
          </cell>
          <cell r="DH200">
            <v>13862</v>
          </cell>
          <cell r="DI200">
            <v>13862</v>
          </cell>
          <cell r="DJ200">
            <v>13862</v>
          </cell>
          <cell r="DK200">
            <v>0</v>
          </cell>
          <cell r="DL200">
            <v>0</v>
          </cell>
          <cell r="DM200">
            <v>2999509</v>
          </cell>
          <cell r="DN200">
            <v>4</v>
          </cell>
          <cell r="DO200" t="str">
            <v>Отопление</v>
          </cell>
          <cell r="DP200" t="str">
            <v>УЖХ</v>
          </cell>
          <cell r="DQ200">
            <v>40403</v>
          </cell>
          <cell r="DR200">
            <v>0</v>
          </cell>
          <cell r="DS200">
            <v>64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 t="str">
            <v>3.Зависимая схема</v>
          </cell>
          <cell r="EE200" t="str">
            <v>Нижний</v>
          </cell>
          <cell r="EF200">
            <v>0</v>
          </cell>
          <cell r="EG200">
            <v>0</v>
          </cell>
          <cell r="EH200">
            <v>0</v>
          </cell>
          <cell r="EI200">
            <v>1075.8399999999999</v>
          </cell>
          <cell r="EJ200">
            <v>521.6</v>
          </cell>
          <cell r="EK200">
            <v>900.9</v>
          </cell>
          <cell r="EL200">
            <v>47.3</v>
          </cell>
          <cell r="EM200">
            <v>208.2</v>
          </cell>
          <cell r="EN200">
            <v>0</v>
          </cell>
          <cell r="EO200">
            <v>0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T200">
            <v>0</v>
          </cell>
          <cell r="EU200">
            <v>450</v>
          </cell>
          <cell r="EV200">
            <v>1</v>
          </cell>
          <cell r="EW200">
            <v>1</v>
          </cell>
          <cell r="EX200">
            <v>0</v>
          </cell>
          <cell r="EY200">
            <v>0</v>
          </cell>
          <cell r="EZ200">
            <v>0</v>
          </cell>
          <cell r="FA200">
            <v>0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16.41</v>
          </cell>
          <cell r="FG200">
            <v>16.409988403320313</v>
          </cell>
          <cell r="FH200" t="str">
            <v>С УЛК (клининг)</v>
          </cell>
          <cell r="FI200">
            <v>43553</v>
          </cell>
          <cell r="FJ200">
            <v>15477</v>
          </cell>
          <cell r="FK200">
            <v>15477</v>
          </cell>
          <cell r="FL200">
            <v>4470.2</v>
          </cell>
          <cell r="FM200">
            <v>78.92</v>
          </cell>
          <cell r="FN200">
            <v>6779.52</v>
          </cell>
          <cell r="FO200">
            <v>20338.560000000001</v>
          </cell>
        </row>
        <row r="201">
          <cell r="AI201" t="str">
            <v>Ул. Мусоргского дом 21</v>
          </cell>
          <cell r="AJ201">
            <v>20338.546875</v>
          </cell>
          <cell r="AK201">
            <v>2640.6</v>
          </cell>
          <cell r="AL201">
            <v>1831.5</v>
          </cell>
          <cell r="AM201">
            <v>4</v>
          </cell>
          <cell r="AN201">
            <v>4</v>
          </cell>
          <cell r="AO201" t="str">
            <v>АО УЖХ Демского района</v>
          </cell>
          <cell r="AP201">
            <v>2581.4</v>
          </cell>
          <cell r="AQ201">
            <v>59.2</v>
          </cell>
          <cell r="AR201">
            <v>274.3</v>
          </cell>
          <cell r="AS201">
            <v>7.4</v>
          </cell>
          <cell r="AT201">
            <v>60</v>
          </cell>
          <cell r="AU201">
            <v>5</v>
          </cell>
          <cell r="AV201">
            <v>135</v>
          </cell>
          <cell r="AW201">
            <v>0</v>
          </cell>
          <cell r="AX201">
            <v>0</v>
          </cell>
          <cell r="AY201">
            <v>0</v>
          </cell>
          <cell r="AZ201">
            <v>1462.5</v>
          </cell>
          <cell r="BA201">
            <v>1772.9</v>
          </cell>
          <cell r="BB201">
            <v>1772.8994140625</v>
          </cell>
          <cell r="BC201" t="str">
            <v>Управляющая компания</v>
          </cell>
          <cell r="BD201" t="str">
            <v>1. Жилой дом</v>
          </cell>
          <cell r="BE201">
            <v>43.8</v>
          </cell>
          <cell r="BF201" t="str">
            <v>2.Чёрный</v>
          </cell>
          <cell r="BG201">
            <v>43.79998779296875</v>
          </cell>
          <cell r="BH201" t="str">
            <v>3.Водяной</v>
          </cell>
          <cell r="BI201" t="str">
            <v>МУП УИС</v>
          </cell>
          <cell r="BJ201" t="str">
            <v>1. Чугун</v>
          </cell>
          <cell r="BK201">
            <v>43.79998779296875</v>
          </cell>
          <cell r="BL201" t="str">
            <v>8.Сборные ж/б</v>
          </cell>
          <cell r="BM201">
            <v>25204</v>
          </cell>
          <cell r="BN201">
            <v>60</v>
          </cell>
          <cell r="BO201" t="str">
            <v>Оборудован</v>
          </cell>
          <cell r="BP201" t="str">
            <v>4.Мягк/рулонная</v>
          </cell>
          <cell r="BQ201" t="str">
            <v>2.Плоская</v>
          </cell>
          <cell r="BR201">
            <v>752</v>
          </cell>
          <cell r="BS201">
            <v>683.6</v>
          </cell>
          <cell r="BT201">
            <v>683.599609375</v>
          </cell>
          <cell r="BU201">
            <v>683.599609375</v>
          </cell>
          <cell r="BV201">
            <v>0</v>
          </cell>
          <cell r="BW201" t="str">
            <v>3.Частный жилищный фонд</v>
          </cell>
          <cell r="BX201">
            <v>60</v>
          </cell>
          <cell r="BY201">
            <v>0</v>
          </cell>
          <cell r="BZ201" t="str">
            <v>2-я</v>
          </cell>
          <cell r="CA201">
            <v>1</v>
          </cell>
          <cell r="CB201">
            <v>27.01</v>
          </cell>
          <cell r="CC201">
            <v>1</v>
          </cell>
          <cell r="CD201">
            <v>1</v>
          </cell>
          <cell r="CE201">
            <v>2640.6</v>
          </cell>
          <cell r="CF201" t="str">
            <v>ООО "Сфера"</v>
          </cell>
          <cell r="CG201">
            <v>59</v>
          </cell>
          <cell r="CH201">
            <v>1</v>
          </cell>
          <cell r="CI201">
            <v>1</v>
          </cell>
          <cell r="CJ201">
            <v>1</v>
          </cell>
          <cell r="CK201">
            <v>1</v>
          </cell>
          <cell r="CL201">
            <v>1</v>
          </cell>
          <cell r="CM201">
            <v>61</v>
          </cell>
          <cell r="CN201">
            <v>281.7</v>
          </cell>
          <cell r="CO201">
            <v>0</v>
          </cell>
          <cell r="CP201">
            <v>965.3</v>
          </cell>
          <cell r="CQ201">
            <v>965.2998046875</v>
          </cell>
          <cell r="CR201">
            <v>965.2998046875</v>
          </cell>
          <cell r="CS201">
            <v>1</v>
          </cell>
          <cell r="CT201">
            <v>60</v>
          </cell>
          <cell r="CU201">
            <v>0</v>
          </cell>
          <cell r="CV201">
            <v>46</v>
          </cell>
          <cell r="CW201">
            <v>0</v>
          </cell>
          <cell r="CX201">
            <v>1</v>
          </cell>
          <cell r="CY201">
            <v>1</v>
          </cell>
          <cell r="CZ201">
            <v>10802</v>
          </cell>
          <cell r="DA201" t="str">
            <v>Демский</v>
          </cell>
          <cell r="DB201" t="str">
            <v>3.Сборные ж/б панели</v>
          </cell>
          <cell r="DC201">
            <v>10802</v>
          </cell>
          <cell r="DD201">
            <v>10802</v>
          </cell>
          <cell r="DE201">
            <v>10802</v>
          </cell>
          <cell r="DF201">
            <v>10802</v>
          </cell>
          <cell r="DG201">
            <v>10802</v>
          </cell>
          <cell r="DH201">
            <v>10802</v>
          </cell>
          <cell r="DI201">
            <v>10802</v>
          </cell>
          <cell r="DJ201">
            <v>10802</v>
          </cell>
          <cell r="DK201">
            <v>0</v>
          </cell>
          <cell r="DL201">
            <v>0</v>
          </cell>
          <cell r="DM201">
            <v>2199249</v>
          </cell>
          <cell r="DN201">
            <v>4</v>
          </cell>
          <cell r="DO201" t="str">
            <v>Отопление</v>
          </cell>
          <cell r="DP201" t="str">
            <v>УЖХ</v>
          </cell>
          <cell r="DQ201">
            <v>39757</v>
          </cell>
          <cell r="DR201">
            <v>0</v>
          </cell>
          <cell r="DS201">
            <v>60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</v>
          </cell>
          <cell r="EA201">
            <v>0</v>
          </cell>
          <cell r="EB201">
            <v>0</v>
          </cell>
          <cell r="EC201">
            <v>0</v>
          </cell>
          <cell r="ED201" t="str">
            <v>3.Зависимая схема</v>
          </cell>
          <cell r="EE201" t="str">
            <v>Нижний</v>
          </cell>
          <cell r="EF201">
            <v>0</v>
          </cell>
          <cell r="EG201">
            <v>0</v>
          </cell>
          <cell r="EH201">
            <v>0</v>
          </cell>
          <cell r="EI201">
            <v>1772.9</v>
          </cell>
          <cell r="EJ201">
            <v>1772.8994140625</v>
          </cell>
          <cell r="EK201">
            <v>1042.9000000000001</v>
          </cell>
          <cell r="EL201">
            <v>1042.8994140625</v>
          </cell>
          <cell r="EM201">
            <v>354.7</v>
          </cell>
          <cell r="EN201">
            <v>0</v>
          </cell>
          <cell r="EO201">
            <v>0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64.900000000000006</v>
          </cell>
          <cell r="FB201">
            <v>1</v>
          </cell>
          <cell r="FC201">
            <v>1</v>
          </cell>
          <cell r="FD201">
            <v>0</v>
          </cell>
          <cell r="FE201">
            <v>0</v>
          </cell>
          <cell r="FF201">
            <v>15.48</v>
          </cell>
          <cell r="FG201">
            <v>2.35</v>
          </cell>
          <cell r="FH201" t="str">
            <v>С УЛК (клининг)</v>
          </cell>
          <cell r="FI201">
            <v>44682</v>
          </cell>
          <cell r="FJ201">
            <v>15477</v>
          </cell>
          <cell r="FK201">
            <v>15477</v>
          </cell>
          <cell r="FL201">
            <v>3605.9</v>
          </cell>
          <cell r="FM201">
            <v>78.92</v>
          </cell>
          <cell r="FN201">
            <v>6355.8</v>
          </cell>
          <cell r="FO201">
            <v>19067.400000000001</v>
          </cell>
        </row>
        <row r="202">
          <cell r="AI202" t="str">
            <v>Ул. Юматовская дом 2/б</v>
          </cell>
          <cell r="AJ202">
            <v>19067.390625</v>
          </cell>
          <cell r="AK202">
            <v>600.70000000000005</v>
          </cell>
          <cell r="AL202">
            <v>420.5</v>
          </cell>
          <cell r="AM202">
            <v>3</v>
          </cell>
          <cell r="AN202">
            <v>3</v>
          </cell>
          <cell r="AO202" t="str">
            <v>АО УЖХ Демского района</v>
          </cell>
          <cell r="AP202">
            <v>504.7</v>
          </cell>
          <cell r="AQ202">
            <v>96</v>
          </cell>
          <cell r="AR202">
            <v>65.7</v>
          </cell>
          <cell r="AS202">
            <v>7.6</v>
          </cell>
          <cell r="AT202">
            <v>12</v>
          </cell>
          <cell r="AU202">
            <v>2</v>
          </cell>
          <cell r="AV202">
            <v>33</v>
          </cell>
          <cell r="AW202">
            <v>0</v>
          </cell>
          <cell r="AX202">
            <v>0</v>
          </cell>
          <cell r="AY202">
            <v>0</v>
          </cell>
          <cell r="AZ202">
            <v>263.60000000000002</v>
          </cell>
          <cell r="BA202">
            <v>126.5</v>
          </cell>
          <cell r="BB202">
            <v>126.5</v>
          </cell>
          <cell r="BC202" t="str">
            <v>Непосредственное</v>
          </cell>
          <cell r="BD202" t="str">
            <v>1. Жилой дом</v>
          </cell>
          <cell r="BE202">
            <v>64.75</v>
          </cell>
          <cell r="BF202" t="str">
            <v>2.Чёрный</v>
          </cell>
          <cell r="BG202">
            <v>64.75</v>
          </cell>
          <cell r="BH202" t="str">
            <v>1.АОГВ</v>
          </cell>
          <cell r="BI202">
            <v>64.75</v>
          </cell>
          <cell r="BJ202" t="str">
            <v>1. Чугун</v>
          </cell>
          <cell r="BK202">
            <v>64.75</v>
          </cell>
          <cell r="BL202" t="str">
            <v>4.Шлакоблок</v>
          </cell>
          <cell r="BM202">
            <v>21551</v>
          </cell>
          <cell r="BN202">
            <v>21551</v>
          </cell>
          <cell r="BO202" t="str">
            <v>Не оборудован</v>
          </cell>
          <cell r="BP202" t="str">
            <v>1.Абсоцемент(шифер)</v>
          </cell>
          <cell r="BQ202" t="str">
            <v>1.Скатная</v>
          </cell>
          <cell r="BR202">
            <v>585.29999999999995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 t="str">
            <v>3.Частный жилищный фонд</v>
          </cell>
          <cell r="BX202">
            <v>12</v>
          </cell>
          <cell r="BY202">
            <v>0</v>
          </cell>
          <cell r="BZ202" t="str">
            <v>3-я</v>
          </cell>
          <cell r="CA202">
            <v>1</v>
          </cell>
          <cell r="CB202">
            <v>27.01</v>
          </cell>
          <cell r="CC202">
            <v>1</v>
          </cell>
          <cell r="CD202">
            <v>1</v>
          </cell>
          <cell r="CE202">
            <v>1</v>
          </cell>
          <cell r="CF202" t="str">
            <v>ООО "Дёма Комфорт"</v>
          </cell>
          <cell r="CG202">
            <v>10</v>
          </cell>
          <cell r="CH202">
            <v>2</v>
          </cell>
          <cell r="CI202">
            <v>2</v>
          </cell>
          <cell r="CJ202">
            <v>2</v>
          </cell>
          <cell r="CK202">
            <v>0</v>
          </cell>
          <cell r="CL202">
            <v>0</v>
          </cell>
          <cell r="CM202">
            <v>12</v>
          </cell>
          <cell r="CN202">
            <v>73.3</v>
          </cell>
          <cell r="CO202">
            <v>0</v>
          </cell>
          <cell r="CP202">
            <v>73.3</v>
          </cell>
          <cell r="CQ202">
            <v>73.29998779296875</v>
          </cell>
          <cell r="CR202">
            <v>73.29998779296875</v>
          </cell>
          <cell r="CS202">
            <v>0</v>
          </cell>
          <cell r="CT202">
            <v>12</v>
          </cell>
          <cell r="CU202">
            <v>0</v>
          </cell>
          <cell r="CV202">
            <v>0</v>
          </cell>
          <cell r="CW202">
            <v>0</v>
          </cell>
          <cell r="CX202">
            <v>1</v>
          </cell>
          <cell r="CY202">
            <v>1</v>
          </cell>
          <cell r="CZ202">
            <v>2769</v>
          </cell>
          <cell r="DA202" t="str">
            <v>Демский</v>
          </cell>
          <cell r="DB202" t="str">
            <v>2.Деревянные</v>
          </cell>
          <cell r="DC202">
            <v>2769</v>
          </cell>
          <cell r="DD202">
            <v>2769</v>
          </cell>
          <cell r="DE202">
            <v>2769</v>
          </cell>
          <cell r="DF202">
            <v>2769</v>
          </cell>
          <cell r="DG202">
            <v>2769</v>
          </cell>
          <cell r="DH202">
            <v>2769</v>
          </cell>
          <cell r="DI202">
            <v>2769</v>
          </cell>
          <cell r="DJ202">
            <v>2769</v>
          </cell>
          <cell r="DK202">
            <v>0</v>
          </cell>
          <cell r="DL202">
            <v>0</v>
          </cell>
          <cell r="DM202">
            <v>1002942</v>
          </cell>
          <cell r="DN202">
            <v>0</v>
          </cell>
          <cell r="DO202">
            <v>0</v>
          </cell>
          <cell r="DP202" t="str">
            <v>УЖХ</v>
          </cell>
          <cell r="DQ202">
            <v>35522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0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126.5</v>
          </cell>
          <cell r="EJ202">
            <v>45.6</v>
          </cell>
          <cell r="EK202">
            <v>0</v>
          </cell>
          <cell r="EL202">
            <v>0</v>
          </cell>
          <cell r="EM202">
            <v>218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  <cell r="EW202">
            <v>0</v>
          </cell>
          <cell r="EX202">
            <v>0</v>
          </cell>
          <cell r="EY202">
            <v>0</v>
          </cell>
          <cell r="EZ202">
            <v>0</v>
          </cell>
          <cell r="FA202">
            <v>0</v>
          </cell>
          <cell r="FB202">
            <v>0</v>
          </cell>
          <cell r="FC202">
            <v>0</v>
          </cell>
          <cell r="FD202">
            <v>0</v>
          </cell>
          <cell r="FE202">
            <v>0</v>
          </cell>
          <cell r="FF202">
            <v>16.21</v>
          </cell>
          <cell r="FG202">
            <v>16.209991455078125</v>
          </cell>
          <cell r="FH202" t="str">
            <v>С УЛК (ЖЭУ)</v>
          </cell>
          <cell r="FI202">
            <v>43466</v>
          </cell>
          <cell r="FJ202">
            <v>43466</v>
          </cell>
          <cell r="FK202">
            <v>43466</v>
          </cell>
          <cell r="FL202">
            <v>674</v>
          </cell>
          <cell r="FM202">
            <v>78.92</v>
          </cell>
          <cell r="FN202">
            <v>1271.1599999999999</v>
          </cell>
          <cell r="FO202">
            <v>3813.4799999999996</v>
          </cell>
        </row>
        <row r="203">
          <cell r="AI203" t="str">
            <v>Ул. Мусоргского дом 21/1</v>
          </cell>
          <cell r="AJ203">
            <v>3813.478515625</v>
          </cell>
          <cell r="AK203">
            <v>4309.3</v>
          </cell>
          <cell r="AL203">
            <v>2929.9</v>
          </cell>
          <cell r="AM203">
            <v>6</v>
          </cell>
          <cell r="AN203">
            <v>6</v>
          </cell>
          <cell r="AO203" t="str">
            <v>АО УЖХ Демского района</v>
          </cell>
          <cell r="AP203">
            <v>4263.3999999999996</v>
          </cell>
          <cell r="AQ203">
            <v>44.6</v>
          </cell>
          <cell r="AR203">
            <v>403.6</v>
          </cell>
          <cell r="AS203">
            <v>12</v>
          </cell>
          <cell r="AT203">
            <v>92</v>
          </cell>
          <cell r="AU203">
            <v>5</v>
          </cell>
          <cell r="AV203">
            <v>233</v>
          </cell>
          <cell r="AW203">
            <v>0</v>
          </cell>
          <cell r="AX203">
            <v>0</v>
          </cell>
          <cell r="AY203">
            <v>845.8</v>
          </cell>
          <cell r="AZ203">
            <v>1548</v>
          </cell>
          <cell r="BA203">
            <v>2093.1999999999998</v>
          </cell>
          <cell r="BB203">
            <v>2093.19921875</v>
          </cell>
          <cell r="BC203" t="str">
            <v>Управляющая компания</v>
          </cell>
          <cell r="BD203" t="str">
            <v>1. Жилой дом</v>
          </cell>
          <cell r="BE203">
            <v>39.799999999999997</v>
          </cell>
          <cell r="BF203" t="str">
            <v>2.Чёрный</v>
          </cell>
          <cell r="BG203">
            <v>39.79998779296875</v>
          </cell>
          <cell r="BH203" t="str">
            <v>3.Водяной</v>
          </cell>
          <cell r="BI203" t="str">
            <v>МУП УИС</v>
          </cell>
          <cell r="BJ203" t="str">
            <v>1. Чугун</v>
          </cell>
          <cell r="BK203">
            <v>39.79998779296875</v>
          </cell>
          <cell r="BL203" t="str">
            <v>2.Кирпич</v>
          </cell>
          <cell r="BM203">
            <v>27030</v>
          </cell>
          <cell r="BN203">
            <v>92</v>
          </cell>
          <cell r="BO203" t="str">
            <v>Оборудован</v>
          </cell>
          <cell r="BP203" t="str">
            <v>4.Мягк/рулонная</v>
          </cell>
          <cell r="BQ203" t="str">
            <v>2.Плоская</v>
          </cell>
          <cell r="BR203">
            <v>1589</v>
          </cell>
          <cell r="BS203">
            <v>1444</v>
          </cell>
          <cell r="BT203">
            <v>1444</v>
          </cell>
          <cell r="BU203">
            <v>1444</v>
          </cell>
          <cell r="BV203">
            <v>0</v>
          </cell>
          <cell r="BW203" t="str">
            <v>3.Частный жилищный фонд</v>
          </cell>
          <cell r="BX203">
            <v>92</v>
          </cell>
          <cell r="BY203">
            <v>0</v>
          </cell>
          <cell r="BZ203" t="str">
            <v>2-я</v>
          </cell>
          <cell r="CA203">
            <v>1</v>
          </cell>
          <cell r="CB203">
            <v>27.01</v>
          </cell>
          <cell r="CC203">
            <v>1</v>
          </cell>
          <cell r="CD203">
            <v>1</v>
          </cell>
          <cell r="CE203">
            <v>4308</v>
          </cell>
          <cell r="CF203" t="str">
            <v>ООО "Сфера"</v>
          </cell>
          <cell r="CG203">
            <v>91</v>
          </cell>
          <cell r="CH203">
            <v>1</v>
          </cell>
          <cell r="CI203">
            <v>1</v>
          </cell>
          <cell r="CJ203">
            <v>1</v>
          </cell>
          <cell r="CK203">
            <v>1</v>
          </cell>
          <cell r="CL203">
            <v>1</v>
          </cell>
          <cell r="CM203">
            <v>95</v>
          </cell>
          <cell r="CN203">
            <v>415.6</v>
          </cell>
          <cell r="CO203">
            <v>0</v>
          </cell>
          <cell r="CP203">
            <v>1859.6</v>
          </cell>
          <cell r="CQ203">
            <v>1859.599609375</v>
          </cell>
          <cell r="CR203">
            <v>1859.599609375</v>
          </cell>
          <cell r="CS203">
            <v>2</v>
          </cell>
          <cell r="CT203">
            <v>92</v>
          </cell>
          <cell r="CU203">
            <v>0</v>
          </cell>
          <cell r="CV203">
            <v>75</v>
          </cell>
          <cell r="CW203">
            <v>0</v>
          </cell>
          <cell r="CX203">
            <v>1</v>
          </cell>
          <cell r="CY203">
            <v>1</v>
          </cell>
          <cell r="CZ203">
            <v>24317</v>
          </cell>
          <cell r="DA203" t="str">
            <v>Демский</v>
          </cell>
          <cell r="DB203" t="str">
            <v>3.Сборные ж/б панели</v>
          </cell>
          <cell r="DC203">
            <v>24317</v>
          </cell>
          <cell r="DD203">
            <v>24317</v>
          </cell>
          <cell r="DE203">
            <v>24317</v>
          </cell>
          <cell r="DF203">
            <v>24317</v>
          </cell>
          <cell r="DG203">
            <v>24317</v>
          </cell>
          <cell r="DH203">
            <v>24317</v>
          </cell>
          <cell r="DI203">
            <v>24317</v>
          </cell>
          <cell r="DJ203">
            <v>24317</v>
          </cell>
          <cell r="DK203">
            <v>0</v>
          </cell>
          <cell r="DL203">
            <v>0</v>
          </cell>
          <cell r="DM203">
            <v>7098073</v>
          </cell>
          <cell r="DN203">
            <v>6</v>
          </cell>
          <cell r="DO203" t="str">
            <v>Отопление</v>
          </cell>
          <cell r="DP203" t="str">
            <v>УЖХ</v>
          </cell>
          <cell r="DQ203">
            <v>40233</v>
          </cell>
          <cell r="DR203">
            <v>0</v>
          </cell>
          <cell r="DS203">
            <v>92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 t="str">
            <v>3.Зависимая схема</v>
          </cell>
          <cell r="EE203" t="str">
            <v>Нижний</v>
          </cell>
          <cell r="EF203">
            <v>0</v>
          </cell>
          <cell r="EG203">
            <v>0</v>
          </cell>
          <cell r="EH203">
            <v>237</v>
          </cell>
          <cell r="EI203">
            <v>1856.2</v>
          </cell>
          <cell r="EJ203">
            <v>206.8</v>
          </cell>
          <cell r="EK203">
            <v>924</v>
          </cell>
          <cell r="EL203">
            <v>130.19999999999999</v>
          </cell>
          <cell r="EM203">
            <v>236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  <cell r="EW203">
            <v>0</v>
          </cell>
          <cell r="EX203">
            <v>0</v>
          </cell>
          <cell r="EY203">
            <v>0</v>
          </cell>
          <cell r="EZ203">
            <v>0</v>
          </cell>
          <cell r="FA203">
            <v>51</v>
          </cell>
          <cell r="FB203">
            <v>1</v>
          </cell>
          <cell r="FC203">
            <v>1</v>
          </cell>
          <cell r="FD203">
            <v>0</v>
          </cell>
          <cell r="FE203">
            <v>0</v>
          </cell>
          <cell r="FF203">
            <v>15.48</v>
          </cell>
          <cell r="FG203">
            <v>2.7</v>
          </cell>
          <cell r="FH203" t="str">
            <v>С УЛК (клининг)</v>
          </cell>
          <cell r="FI203">
            <v>44682</v>
          </cell>
          <cell r="FJ203">
            <v>15477</v>
          </cell>
          <cell r="FK203">
            <v>15477</v>
          </cell>
          <cell r="FL203">
            <v>7014.7</v>
          </cell>
          <cell r="FM203">
            <v>78.92</v>
          </cell>
          <cell r="FN203">
            <v>9745.5600000000013</v>
          </cell>
          <cell r="FO203">
            <v>29236.680000000004</v>
          </cell>
        </row>
        <row r="204">
          <cell r="AI204" t="str">
            <v>Ул. Мусоргского дом 23</v>
          </cell>
          <cell r="AJ204">
            <v>29236.671875</v>
          </cell>
          <cell r="AK204">
            <v>5524.4</v>
          </cell>
          <cell r="AL204">
            <v>3604.5</v>
          </cell>
          <cell r="AM204">
            <v>2</v>
          </cell>
          <cell r="AN204">
            <v>2</v>
          </cell>
          <cell r="AO204" t="str">
            <v>АО УЖХ Демского района</v>
          </cell>
          <cell r="AP204">
            <v>5473.6</v>
          </cell>
          <cell r="AQ204">
            <v>53</v>
          </cell>
          <cell r="AR204">
            <v>336</v>
          </cell>
          <cell r="AS204">
            <v>777.7</v>
          </cell>
          <cell r="AT204">
            <v>96</v>
          </cell>
          <cell r="AU204">
            <v>12</v>
          </cell>
          <cell r="AV204">
            <v>251</v>
          </cell>
          <cell r="AW204">
            <v>251</v>
          </cell>
          <cell r="AX204" t="str">
            <v>отказ от услуги</v>
          </cell>
          <cell r="AY204">
            <v>251</v>
          </cell>
          <cell r="AZ204">
            <v>3379.8</v>
          </cell>
          <cell r="BA204">
            <v>2668.5</v>
          </cell>
          <cell r="BB204">
            <v>2668.5</v>
          </cell>
          <cell r="BC204" t="str">
            <v>Управляющая компания</v>
          </cell>
          <cell r="BD204" t="str">
            <v>1. Жилой дом</v>
          </cell>
          <cell r="BE204">
            <v>35</v>
          </cell>
          <cell r="BF204" t="str">
            <v>2.Чёрный</v>
          </cell>
          <cell r="BG204" t="str">
            <v>1.Оцинкованный</v>
          </cell>
          <cell r="BH204" t="str">
            <v>3.Водяной</v>
          </cell>
          <cell r="BI204" t="str">
            <v>МУП УИС</v>
          </cell>
          <cell r="BJ204" t="str">
            <v>1. Чугун</v>
          </cell>
          <cell r="BK204">
            <v>4</v>
          </cell>
          <cell r="BL204" t="str">
            <v>8.Сборные ж/б</v>
          </cell>
          <cell r="BM204">
            <v>29221</v>
          </cell>
          <cell r="BN204">
            <v>29221</v>
          </cell>
          <cell r="BO204" t="str">
            <v>Оборудован</v>
          </cell>
          <cell r="BP204" t="str">
            <v>4.Мягк/рулонная</v>
          </cell>
          <cell r="BQ204" t="str">
            <v>2.Плоская</v>
          </cell>
          <cell r="BR204">
            <v>781</v>
          </cell>
          <cell r="BS204">
            <v>710</v>
          </cell>
          <cell r="BT204">
            <v>710</v>
          </cell>
          <cell r="BU204">
            <v>710</v>
          </cell>
          <cell r="BV204">
            <v>0</v>
          </cell>
          <cell r="BW204" t="str">
            <v>3.Частный жилищный фонд</v>
          </cell>
          <cell r="BX204">
            <v>0</v>
          </cell>
          <cell r="BY204">
            <v>96</v>
          </cell>
          <cell r="BZ204" t="str">
            <v>2-я</v>
          </cell>
          <cell r="CA204">
            <v>1</v>
          </cell>
          <cell r="CB204">
            <v>27.01</v>
          </cell>
          <cell r="CC204">
            <v>27.009994506835938</v>
          </cell>
          <cell r="CD204">
            <v>5526.6</v>
          </cell>
          <cell r="CE204">
            <v>5526.59765625</v>
          </cell>
          <cell r="CF204" t="str">
            <v>ООО "Сфера"</v>
          </cell>
          <cell r="CG204">
            <v>95</v>
          </cell>
          <cell r="CH204">
            <v>1</v>
          </cell>
          <cell r="CI204">
            <v>1</v>
          </cell>
          <cell r="CJ204" t="str">
            <v>имеется, работает</v>
          </cell>
          <cell r="CK204">
            <v>2</v>
          </cell>
          <cell r="CL204">
            <v>1</v>
          </cell>
          <cell r="CM204">
            <v>96</v>
          </cell>
          <cell r="CN204">
            <v>1113.7</v>
          </cell>
          <cell r="CO204">
            <v>1113.7</v>
          </cell>
          <cell r="CP204">
            <v>1823.7</v>
          </cell>
          <cell r="CQ204">
            <v>1823.69921875</v>
          </cell>
          <cell r="CR204">
            <v>1823.69921875</v>
          </cell>
          <cell r="CS204">
            <v>4</v>
          </cell>
          <cell r="CT204">
            <v>96</v>
          </cell>
          <cell r="CU204">
            <v>0</v>
          </cell>
          <cell r="CV204">
            <v>89</v>
          </cell>
          <cell r="CW204">
            <v>90</v>
          </cell>
          <cell r="CX204">
            <v>2</v>
          </cell>
          <cell r="CY204">
            <v>2</v>
          </cell>
          <cell r="CZ204">
            <v>23946</v>
          </cell>
          <cell r="DA204" t="str">
            <v>Демский</v>
          </cell>
          <cell r="DB204" t="str">
            <v>3.Сборные ж/б панели</v>
          </cell>
          <cell r="DC204">
            <v>23946</v>
          </cell>
          <cell r="DD204">
            <v>23946</v>
          </cell>
          <cell r="DE204">
            <v>23946</v>
          </cell>
          <cell r="DF204">
            <v>23946</v>
          </cell>
          <cell r="DG204">
            <v>23946</v>
          </cell>
          <cell r="DH204">
            <v>23946</v>
          </cell>
          <cell r="DI204">
            <v>23946</v>
          </cell>
          <cell r="DJ204" t="str">
            <v>АО УЖХ Демского района</v>
          </cell>
          <cell r="DK204">
            <v>23946</v>
          </cell>
          <cell r="DL204">
            <v>23946</v>
          </cell>
          <cell r="DM204">
            <v>5964468</v>
          </cell>
          <cell r="DN204">
            <v>2</v>
          </cell>
          <cell r="DO204" t="str">
            <v>ГВС</v>
          </cell>
          <cell r="DP204" t="str">
            <v>УЖХ</v>
          </cell>
          <cell r="DQ204">
            <v>40626</v>
          </cell>
          <cell r="DR204">
            <v>0</v>
          </cell>
          <cell r="DS204">
            <v>96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0</v>
          </cell>
          <cell r="EC204">
            <v>0</v>
          </cell>
          <cell r="ED204" t="str">
            <v>4. Независимая схема</v>
          </cell>
          <cell r="EE204" t="str">
            <v>Нижний</v>
          </cell>
          <cell r="EF204">
            <v>0</v>
          </cell>
          <cell r="EG204">
            <v>0</v>
          </cell>
          <cell r="EH204">
            <v>635</v>
          </cell>
          <cell r="EI204">
            <v>1889.5</v>
          </cell>
          <cell r="EJ204">
            <v>380.5</v>
          </cell>
          <cell r="EK204">
            <v>858.8</v>
          </cell>
          <cell r="EL204">
            <v>1562.3</v>
          </cell>
          <cell r="EM204">
            <v>515.70000000000005</v>
          </cell>
          <cell r="EN204">
            <v>6</v>
          </cell>
          <cell r="EO204">
            <v>6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144</v>
          </cell>
          <cell r="EV204">
            <v>1</v>
          </cell>
          <cell r="EW204">
            <v>19.899999999999999</v>
          </cell>
          <cell r="EX204">
            <v>1</v>
          </cell>
          <cell r="EY204">
            <v>1</v>
          </cell>
          <cell r="EZ204">
            <v>0</v>
          </cell>
          <cell r="FA204">
            <v>42.6</v>
          </cell>
          <cell r="FB204">
            <v>1</v>
          </cell>
          <cell r="FC204">
            <v>1</v>
          </cell>
          <cell r="FD204">
            <v>0</v>
          </cell>
          <cell r="FE204">
            <v>0</v>
          </cell>
          <cell r="FF204">
            <v>23.77</v>
          </cell>
          <cell r="FG204">
            <v>23.769989013671875</v>
          </cell>
          <cell r="FH204" t="str">
            <v>С УЛК (клининг)</v>
          </cell>
          <cell r="FI204">
            <v>43865</v>
          </cell>
          <cell r="FJ204">
            <v>15477</v>
          </cell>
          <cell r="FK204">
            <v>15477</v>
          </cell>
          <cell r="FL204">
            <v>7348.1</v>
          </cell>
          <cell r="FM204">
            <v>78.92</v>
          </cell>
          <cell r="FN204">
            <v>2592.96</v>
          </cell>
          <cell r="FO204">
            <v>2592.96</v>
          </cell>
        </row>
        <row r="205">
          <cell r="AI205" t="str">
            <v>Ул. Мусоргского дом 25</v>
          </cell>
          <cell r="AJ205">
            <v>2592.958984375</v>
          </cell>
          <cell r="AK205">
            <v>3949.9</v>
          </cell>
          <cell r="AL205">
            <v>2704.2</v>
          </cell>
          <cell r="AM205">
            <v>6</v>
          </cell>
          <cell r="AN205">
            <v>6</v>
          </cell>
          <cell r="AO205" t="str">
            <v>АО УЖХ Демского района</v>
          </cell>
          <cell r="AP205">
            <v>3816.2</v>
          </cell>
          <cell r="AQ205">
            <v>132.6</v>
          </cell>
          <cell r="AR205">
            <v>386.3</v>
          </cell>
          <cell r="AS205">
            <v>13.9</v>
          </cell>
          <cell r="AT205">
            <v>90</v>
          </cell>
          <cell r="AU205">
            <v>5</v>
          </cell>
          <cell r="AV205">
            <v>198</v>
          </cell>
          <cell r="AW205">
            <v>0</v>
          </cell>
          <cell r="AX205">
            <v>0</v>
          </cell>
          <cell r="AY205">
            <v>0</v>
          </cell>
          <cell r="AZ205">
            <v>1343.9</v>
          </cell>
          <cell r="BA205">
            <v>1932.1</v>
          </cell>
          <cell r="BB205">
            <v>1932.099609375</v>
          </cell>
          <cell r="BC205" t="str">
            <v>Управляющая компания</v>
          </cell>
          <cell r="BD205" t="str">
            <v>1. Жилой дом</v>
          </cell>
          <cell r="BE205">
            <v>42.2</v>
          </cell>
          <cell r="BF205" t="str">
            <v>2.Чёрный</v>
          </cell>
          <cell r="BG205">
            <v>42.199981689453125</v>
          </cell>
          <cell r="BH205" t="str">
            <v>3.Водяной</v>
          </cell>
          <cell r="BI205" t="str">
            <v>МУП УИС</v>
          </cell>
          <cell r="BJ205" t="str">
            <v>1. Чугун</v>
          </cell>
          <cell r="BK205">
            <v>42.199981689453125</v>
          </cell>
          <cell r="BL205" t="str">
            <v>9.Крупнопанел/блок</v>
          </cell>
          <cell r="BM205">
            <v>25934</v>
          </cell>
          <cell r="BN205">
            <v>90</v>
          </cell>
          <cell r="BO205" t="str">
            <v>Оборудован</v>
          </cell>
          <cell r="BP205" t="str">
            <v>4.Мягк/рулонная</v>
          </cell>
          <cell r="BQ205" t="str">
            <v>2.Плоская</v>
          </cell>
          <cell r="BR205">
            <v>1122</v>
          </cell>
          <cell r="BS205">
            <v>832.2</v>
          </cell>
          <cell r="BT205">
            <v>832.19970703125</v>
          </cell>
          <cell r="BU205">
            <v>832.19970703125</v>
          </cell>
          <cell r="BV205">
            <v>832.19970703125</v>
          </cell>
          <cell r="BW205" t="str">
            <v>3.Частный жилищный фонд</v>
          </cell>
          <cell r="BX205">
            <v>90</v>
          </cell>
          <cell r="BY205">
            <v>0</v>
          </cell>
          <cell r="BZ205" t="str">
            <v>2-я</v>
          </cell>
          <cell r="CA205">
            <v>1</v>
          </cell>
          <cell r="CB205">
            <v>27.01</v>
          </cell>
          <cell r="CC205">
            <v>1</v>
          </cell>
          <cell r="CD205">
            <v>1</v>
          </cell>
          <cell r="CE205">
            <v>3948.8</v>
          </cell>
          <cell r="CF205" t="str">
            <v>ООО "Сфера"</v>
          </cell>
          <cell r="CG205">
            <v>87</v>
          </cell>
          <cell r="CH205">
            <v>3</v>
          </cell>
          <cell r="CI205">
            <v>3</v>
          </cell>
          <cell r="CJ205">
            <v>3</v>
          </cell>
          <cell r="CK205">
            <v>0</v>
          </cell>
          <cell r="CL205">
            <v>1</v>
          </cell>
          <cell r="CM205">
            <v>91</v>
          </cell>
          <cell r="CN205">
            <v>400.2</v>
          </cell>
          <cell r="CO205">
            <v>0</v>
          </cell>
          <cell r="CP205">
            <v>1232.4000000000001</v>
          </cell>
          <cell r="CQ205">
            <v>1232.3994140625</v>
          </cell>
          <cell r="CR205">
            <v>1232.3994140625</v>
          </cell>
          <cell r="CS205">
            <v>1</v>
          </cell>
          <cell r="CT205">
            <v>90</v>
          </cell>
          <cell r="CU205">
            <v>0</v>
          </cell>
          <cell r="CV205">
            <v>61</v>
          </cell>
          <cell r="CW205">
            <v>0</v>
          </cell>
          <cell r="CX205">
            <v>1</v>
          </cell>
          <cell r="CY205">
            <v>1</v>
          </cell>
          <cell r="CZ205">
            <v>14473</v>
          </cell>
          <cell r="DA205" t="str">
            <v>Демский</v>
          </cell>
          <cell r="DB205" t="str">
            <v>3.Сборные ж/б панели</v>
          </cell>
          <cell r="DC205">
            <v>14473</v>
          </cell>
          <cell r="DD205">
            <v>14473</v>
          </cell>
          <cell r="DE205">
            <v>14473</v>
          </cell>
          <cell r="DF205">
            <v>14473</v>
          </cell>
          <cell r="DG205">
            <v>14473</v>
          </cell>
          <cell r="DH205">
            <v>14473</v>
          </cell>
          <cell r="DI205">
            <v>14473</v>
          </cell>
          <cell r="DJ205">
            <v>14473</v>
          </cell>
          <cell r="DK205">
            <v>0</v>
          </cell>
          <cell r="DL205">
            <v>0</v>
          </cell>
          <cell r="DM205">
            <v>7175114</v>
          </cell>
          <cell r="DN205">
            <v>6</v>
          </cell>
          <cell r="DO205" t="str">
            <v>Отопление</v>
          </cell>
          <cell r="DP205" t="str">
            <v>УЖХ</v>
          </cell>
          <cell r="DQ205">
            <v>38786</v>
          </cell>
          <cell r="DR205">
            <v>0</v>
          </cell>
          <cell r="DS205">
            <v>90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0</v>
          </cell>
          <cell r="DY205">
            <v>0</v>
          </cell>
          <cell r="DZ205">
            <v>0</v>
          </cell>
          <cell r="EA205">
            <v>0</v>
          </cell>
          <cell r="EB205">
            <v>0</v>
          </cell>
          <cell r="EC205">
            <v>0</v>
          </cell>
          <cell r="ED205" t="str">
            <v>3.Зависимая схема</v>
          </cell>
          <cell r="EE205" t="str">
            <v>Нижний</v>
          </cell>
          <cell r="EF205">
            <v>0</v>
          </cell>
          <cell r="EG205">
            <v>0</v>
          </cell>
          <cell r="EH205">
            <v>0</v>
          </cell>
          <cell r="EI205">
            <v>1932.1</v>
          </cell>
          <cell r="EJ205">
            <v>0</v>
          </cell>
          <cell r="EK205">
            <v>947.9</v>
          </cell>
          <cell r="EL205">
            <v>0</v>
          </cell>
          <cell r="EM205">
            <v>340.7</v>
          </cell>
          <cell r="EN205">
            <v>0</v>
          </cell>
          <cell r="EO205">
            <v>0</v>
          </cell>
          <cell r="EP205">
            <v>0</v>
          </cell>
          <cell r="EQ205">
            <v>0</v>
          </cell>
          <cell r="ER205">
            <v>0</v>
          </cell>
          <cell r="ES205">
            <v>0</v>
          </cell>
          <cell r="ET205">
            <v>0</v>
          </cell>
          <cell r="EU205">
            <v>0</v>
          </cell>
          <cell r="EV205">
            <v>0</v>
          </cell>
          <cell r="EW205">
            <v>0</v>
          </cell>
          <cell r="EX205">
            <v>0</v>
          </cell>
          <cell r="EY205">
            <v>0</v>
          </cell>
          <cell r="EZ205">
            <v>0</v>
          </cell>
          <cell r="FA205">
            <v>55.3</v>
          </cell>
          <cell r="FB205">
            <v>1</v>
          </cell>
          <cell r="FC205">
            <v>1</v>
          </cell>
          <cell r="FD205">
            <v>0</v>
          </cell>
          <cell r="FE205">
            <v>0</v>
          </cell>
          <cell r="FF205">
            <v>13.41</v>
          </cell>
          <cell r="FG205">
            <v>13.409996032714844</v>
          </cell>
          <cell r="FH205" t="str">
            <v>С УЛК (клининг)</v>
          </cell>
          <cell r="FI205">
            <v>43466</v>
          </cell>
          <cell r="FJ205">
            <v>15477</v>
          </cell>
          <cell r="FK205">
            <v>15477</v>
          </cell>
          <cell r="FL205">
            <v>5182.3</v>
          </cell>
          <cell r="FM205">
            <v>78.92</v>
          </cell>
          <cell r="FN205">
            <v>9533.7000000000007</v>
          </cell>
          <cell r="FO205">
            <v>28601.100000000002</v>
          </cell>
        </row>
        <row r="206">
          <cell r="AI206" t="str">
            <v>Ул. Мусоргского дом 25/1</v>
          </cell>
          <cell r="AJ206">
            <v>28601.09375</v>
          </cell>
          <cell r="AK206">
            <v>4480.2</v>
          </cell>
          <cell r="AL206">
            <v>3070.5</v>
          </cell>
          <cell r="AM206">
            <v>6</v>
          </cell>
          <cell r="AN206">
            <v>6</v>
          </cell>
          <cell r="AO206" t="str">
            <v>АО УЖХ Демского района</v>
          </cell>
          <cell r="AP206">
            <v>4136.8</v>
          </cell>
          <cell r="AQ206">
            <v>343.4</v>
          </cell>
          <cell r="AR206">
            <v>394.4</v>
          </cell>
          <cell r="AS206">
            <v>18.5</v>
          </cell>
          <cell r="AT206">
            <v>90</v>
          </cell>
          <cell r="AU206">
            <v>5</v>
          </cell>
          <cell r="AV206">
            <v>220</v>
          </cell>
          <cell r="AW206">
            <v>0</v>
          </cell>
          <cell r="AX206">
            <v>0</v>
          </cell>
          <cell r="AY206">
            <v>0</v>
          </cell>
          <cell r="AZ206">
            <v>1141.7</v>
          </cell>
          <cell r="BA206">
            <v>2322.0300000000002</v>
          </cell>
          <cell r="BB206">
            <v>2322.029296875</v>
          </cell>
          <cell r="BC206" t="str">
            <v>Управляющая компания</v>
          </cell>
          <cell r="BD206" t="str">
            <v>1. Жилой дом</v>
          </cell>
          <cell r="BE206">
            <v>39</v>
          </cell>
          <cell r="BF206" t="str">
            <v>2.Чёрный</v>
          </cell>
          <cell r="BG206">
            <v>39</v>
          </cell>
          <cell r="BH206" t="str">
            <v>3.Водяной</v>
          </cell>
          <cell r="BI206" t="str">
            <v>МУП УИС</v>
          </cell>
          <cell r="BJ206" t="str">
            <v>1. Чугун</v>
          </cell>
          <cell r="BK206">
            <v>39</v>
          </cell>
          <cell r="BL206" t="str">
            <v>8.Сборные ж/б</v>
          </cell>
          <cell r="BM206">
            <v>27395</v>
          </cell>
          <cell r="BN206">
            <v>90</v>
          </cell>
          <cell r="BO206" t="str">
            <v>Оборудован</v>
          </cell>
          <cell r="BP206" t="str">
            <v>4.Мягк/рулонная</v>
          </cell>
          <cell r="BQ206" t="str">
            <v>2.Плоская</v>
          </cell>
          <cell r="BR206">
            <v>1122</v>
          </cell>
          <cell r="BS206">
            <v>1110.9000000000001</v>
          </cell>
          <cell r="BT206">
            <v>1110.8994140625</v>
          </cell>
          <cell r="BU206">
            <v>1110.8994140625</v>
          </cell>
          <cell r="BV206">
            <v>0</v>
          </cell>
          <cell r="BW206" t="str">
            <v>3.Частный жилищный фонд</v>
          </cell>
          <cell r="BX206">
            <v>90</v>
          </cell>
          <cell r="BY206">
            <v>0</v>
          </cell>
          <cell r="BZ206" t="str">
            <v>2-я</v>
          </cell>
          <cell r="CA206">
            <v>1</v>
          </cell>
          <cell r="CB206">
            <v>27.01</v>
          </cell>
          <cell r="CC206">
            <v>1</v>
          </cell>
          <cell r="CD206">
            <v>1</v>
          </cell>
          <cell r="CE206">
            <v>4480.2</v>
          </cell>
          <cell r="CF206" t="str">
            <v>ООО "Сфера"</v>
          </cell>
          <cell r="CG206">
            <v>83</v>
          </cell>
          <cell r="CH206">
            <v>7</v>
          </cell>
          <cell r="CI206">
            <v>7</v>
          </cell>
          <cell r="CJ206">
            <v>7</v>
          </cell>
          <cell r="CK206">
            <v>0</v>
          </cell>
          <cell r="CL206">
            <v>1</v>
          </cell>
          <cell r="CM206">
            <v>90</v>
          </cell>
          <cell r="CN206">
            <v>412.9</v>
          </cell>
          <cell r="CO206">
            <v>0</v>
          </cell>
          <cell r="CP206">
            <v>1523.8</v>
          </cell>
          <cell r="CQ206">
            <v>1523.7998046875</v>
          </cell>
          <cell r="CR206">
            <v>1523.7998046875</v>
          </cell>
          <cell r="CS206">
            <v>1</v>
          </cell>
          <cell r="CT206">
            <v>90</v>
          </cell>
          <cell r="CU206">
            <v>0</v>
          </cell>
          <cell r="CV206">
            <v>78</v>
          </cell>
          <cell r="CW206">
            <v>0</v>
          </cell>
          <cell r="CX206">
            <v>1</v>
          </cell>
          <cell r="CY206">
            <v>1</v>
          </cell>
          <cell r="CZ206">
            <v>15660</v>
          </cell>
          <cell r="DA206" t="str">
            <v>Демский</v>
          </cell>
          <cell r="DB206" t="str">
            <v>3.Сборные ж/б панели</v>
          </cell>
          <cell r="DC206">
            <v>15660</v>
          </cell>
          <cell r="DD206">
            <v>15660</v>
          </cell>
          <cell r="DE206">
            <v>15660</v>
          </cell>
          <cell r="DF206">
            <v>15660</v>
          </cell>
          <cell r="DG206">
            <v>15660</v>
          </cell>
          <cell r="DH206">
            <v>15660</v>
          </cell>
          <cell r="DI206">
            <v>15660</v>
          </cell>
          <cell r="DJ206">
            <v>15660</v>
          </cell>
          <cell r="DK206">
            <v>0</v>
          </cell>
          <cell r="DL206">
            <v>0</v>
          </cell>
          <cell r="DM206">
            <v>7229603</v>
          </cell>
          <cell r="DN206">
            <v>4</v>
          </cell>
          <cell r="DO206" t="str">
            <v>Отопление</v>
          </cell>
          <cell r="DP206" t="str">
            <v>УЖХ</v>
          </cell>
          <cell r="DQ206">
            <v>38791</v>
          </cell>
          <cell r="DR206">
            <v>0</v>
          </cell>
          <cell r="DS206">
            <v>90</v>
          </cell>
          <cell r="DT206">
            <v>0</v>
          </cell>
          <cell r="DU206">
            <v>0</v>
          </cell>
          <cell r="DV206">
            <v>0</v>
          </cell>
          <cell r="DW206">
            <v>0</v>
          </cell>
          <cell r="DX206">
            <v>0</v>
          </cell>
          <cell r="DY206">
            <v>0</v>
          </cell>
          <cell r="DZ206">
            <v>0</v>
          </cell>
          <cell r="EA206">
            <v>0</v>
          </cell>
          <cell r="EB206">
            <v>0</v>
          </cell>
          <cell r="EC206">
            <v>0</v>
          </cell>
          <cell r="ED206" t="str">
            <v>3.Зависимая схема</v>
          </cell>
          <cell r="EE206" t="str">
            <v>Нижний</v>
          </cell>
          <cell r="EF206">
            <v>0</v>
          </cell>
          <cell r="EG206">
            <v>0</v>
          </cell>
          <cell r="EH206">
            <v>0</v>
          </cell>
          <cell r="EI206">
            <v>2322.0300000000002</v>
          </cell>
          <cell r="EJ206">
            <v>2322.029296875</v>
          </cell>
          <cell r="EK206">
            <v>800.8</v>
          </cell>
          <cell r="EL206">
            <v>800.7998046875</v>
          </cell>
          <cell r="EM206">
            <v>285</v>
          </cell>
          <cell r="EN206">
            <v>0</v>
          </cell>
          <cell r="EO206">
            <v>0</v>
          </cell>
          <cell r="EP206">
            <v>0</v>
          </cell>
          <cell r="EQ206">
            <v>0</v>
          </cell>
          <cell r="ER206">
            <v>0</v>
          </cell>
          <cell r="ES206">
            <v>0</v>
          </cell>
          <cell r="ET206">
            <v>0</v>
          </cell>
          <cell r="EU206">
            <v>0</v>
          </cell>
          <cell r="EV206">
            <v>0</v>
          </cell>
          <cell r="EW206">
            <v>0</v>
          </cell>
          <cell r="EX206">
            <v>0</v>
          </cell>
          <cell r="EY206">
            <v>0</v>
          </cell>
          <cell r="EZ206">
            <v>0</v>
          </cell>
          <cell r="FA206">
            <v>55.9</v>
          </cell>
          <cell r="FB206">
            <v>1</v>
          </cell>
          <cell r="FC206">
            <v>1</v>
          </cell>
          <cell r="FD206">
            <v>0</v>
          </cell>
          <cell r="FE206">
            <v>0</v>
          </cell>
          <cell r="FF206">
            <v>15.48</v>
          </cell>
          <cell r="FG206">
            <v>15.479995727539063</v>
          </cell>
          <cell r="FH206" t="str">
            <v>С УЛК (клининг)</v>
          </cell>
          <cell r="FI206">
            <v>44682</v>
          </cell>
          <cell r="FJ206">
            <v>15477</v>
          </cell>
          <cell r="FK206">
            <v>15477</v>
          </cell>
          <cell r="FL206">
            <v>6004</v>
          </cell>
          <cell r="FM206">
            <v>78.92</v>
          </cell>
          <cell r="FN206">
            <v>9533.7000000000007</v>
          </cell>
          <cell r="FO206">
            <v>28601.100000000002</v>
          </cell>
        </row>
        <row r="207">
          <cell r="AI207" t="str">
            <v>Ул. Мусы Джалиля дом 4</v>
          </cell>
          <cell r="AJ207">
            <v>28601.09375</v>
          </cell>
          <cell r="AK207">
            <v>371.5</v>
          </cell>
          <cell r="AL207">
            <v>247.7</v>
          </cell>
          <cell r="AM207">
            <v>1</v>
          </cell>
          <cell r="AN207">
            <v>1</v>
          </cell>
          <cell r="AO207" t="str">
            <v>АО УЖХ Демского района</v>
          </cell>
          <cell r="AP207">
            <v>371.7</v>
          </cell>
          <cell r="AQ207">
            <v>0</v>
          </cell>
          <cell r="AR207">
            <v>28.8</v>
          </cell>
          <cell r="AS207">
            <v>2.5</v>
          </cell>
          <cell r="AT207">
            <v>8</v>
          </cell>
          <cell r="AU207">
            <v>2</v>
          </cell>
          <cell r="AV207">
            <v>27</v>
          </cell>
          <cell r="AW207">
            <v>0</v>
          </cell>
          <cell r="AX207">
            <v>0</v>
          </cell>
          <cell r="AY207">
            <v>0</v>
          </cell>
          <cell r="AZ207">
            <v>244</v>
          </cell>
          <cell r="BA207">
            <v>324</v>
          </cell>
          <cell r="BB207">
            <v>324</v>
          </cell>
          <cell r="BC207" t="str">
            <v>Непосредственное</v>
          </cell>
          <cell r="BD207" t="str">
            <v>1. Жилой дом</v>
          </cell>
          <cell r="BE207">
            <v>66.75</v>
          </cell>
          <cell r="BF207" t="str">
            <v>2.Чёрный</v>
          </cell>
          <cell r="BG207">
            <v>66.75</v>
          </cell>
          <cell r="BH207" t="str">
            <v>3.Водяной</v>
          </cell>
          <cell r="BI207" t="str">
            <v>МУП УИС</v>
          </cell>
          <cell r="BJ207" t="str">
            <v>1. Чугун</v>
          </cell>
          <cell r="BK207">
            <v>66.75</v>
          </cell>
          <cell r="BL207" t="str">
            <v>4.Шлакоблок</v>
          </cell>
          <cell r="BM207">
            <v>20821</v>
          </cell>
          <cell r="BN207">
            <v>20821</v>
          </cell>
          <cell r="BO207" t="str">
            <v>Не оборудован</v>
          </cell>
          <cell r="BP207" t="str">
            <v>8.Профнастил</v>
          </cell>
          <cell r="BQ207" t="str">
            <v>1.Скатная</v>
          </cell>
          <cell r="BR207">
            <v>387</v>
          </cell>
          <cell r="BS207">
            <v>66.599999999999994</v>
          </cell>
          <cell r="BT207">
            <v>66.5999755859375</v>
          </cell>
          <cell r="BU207">
            <v>66.5999755859375</v>
          </cell>
          <cell r="BV207">
            <v>0</v>
          </cell>
          <cell r="BW207" t="str">
            <v>3.Частный жилищный фонд</v>
          </cell>
          <cell r="BX207">
            <v>8</v>
          </cell>
          <cell r="BY207">
            <v>0</v>
          </cell>
          <cell r="BZ207" t="str">
            <v>3-я</v>
          </cell>
          <cell r="CA207">
            <v>1</v>
          </cell>
          <cell r="CB207">
            <v>27.01</v>
          </cell>
          <cell r="CC207">
            <v>27.009994506835938</v>
          </cell>
          <cell r="CD207">
            <v>27.009994506835938</v>
          </cell>
          <cell r="CE207">
            <v>27.009994506835938</v>
          </cell>
          <cell r="CF207" t="str">
            <v>ООО "Гранд"</v>
          </cell>
          <cell r="CG207">
            <v>8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8</v>
          </cell>
          <cell r="CN207">
            <v>31.3</v>
          </cell>
          <cell r="CO207">
            <v>0</v>
          </cell>
          <cell r="CP207">
            <v>97.9</v>
          </cell>
          <cell r="CQ207">
            <v>97.89996337890625</v>
          </cell>
          <cell r="CR207">
            <v>97.89996337890625</v>
          </cell>
          <cell r="CS207">
            <v>0</v>
          </cell>
          <cell r="CT207">
            <v>8</v>
          </cell>
          <cell r="CU207">
            <v>0</v>
          </cell>
          <cell r="CV207">
            <v>0</v>
          </cell>
          <cell r="CW207">
            <v>0</v>
          </cell>
          <cell r="CX207">
            <v>1</v>
          </cell>
          <cell r="CY207">
            <v>1</v>
          </cell>
          <cell r="CZ207">
            <v>1794</v>
          </cell>
          <cell r="DA207" t="str">
            <v>Демский</v>
          </cell>
          <cell r="DB207" t="str">
            <v>2.Деревянные</v>
          </cell>
          <cell r="DC207">
            <v>1794</v>
          </cell>
          <cell r="DD207">
            <v>1794</v>
          </cell>
          <cell r="DE207">
            <v>1794</v>
          </cell>
          <cell r="DF207">
            <v>1794</v>
          </cell>
          <cell r="DG207">
            <v>1794</v>
          </cell>
          <cell r="DH207">
            <v>1794</v>
          </cell>
          <cell r="DI207">
            <v>1794</v>
          </cell>
          <cell r="DJ207">
            <v>1794</v>
          </cell>
          <cell r="DK207">
            <v>0</v>
          </cell>
          <cell r="DL207">
            <v>0</v>
          </cell>
          <cell r="DM207">
            <v>765084</v>
          </cell>
          <cell r="DN207">
            <v>0</v>
          </cell>
          <cell r="DO207">
            <v>0</v>
          </cell>
          <cell r="DP207" t="str">
            <v>УЖХ</v>
          </cell>
          <cell r="DQ207">
            <v>35501</v>
          </cell>
          <cell r="DR207">
            <v>0</v>
          </cell>
          <cell r="DS207">
            <v>0</v>
          </cell>
          <cell r="DT207">
            <v>0</v>
          </cell>
          <cell r="DU207">
            <v>0</v>
          </cell>
          <cell r="DV207">
            <v>0</v>
          </cell>
          <cell r="DW207">
            <v>0</v>
          </cell>
          <cell r="DX207">
            <v>0</v>
          </cell>
          <cell r="DY207">
            <v>0</v>
          </cell>
          <cell r="DZ207">
            <v>0</v>
          </cell>
          <cell r="EA207">
            <v>0</v>
          </cell>
          <cell r="EB207">
            <v>0</v>
          </cell>
          <cell r="EC207">
            <v>0</v>
          </cell>
          <cell r="ED207" t="str">
            <v>3.Зависимая схема</v>
          </cell>
          <cell r="EE207" t="str">
            <v>Верхний</v>
          </cell>
          <cell r="EF207">
            <v>0</v>
          </cell>
          <cell r="EG207">
            <v>0</v>
          </cell>
          <cell r="EH207">
            <v>0</v>
          </cell>
          <cell r="EI207">
            <v>324</v>
          </cell>
          <cell r="EJ207">
            <v>66.599999999999994</v>
          </cell>
          <cell r="EK207">
            <v>177.4</v>
          </cell>
          <cell r="EL207">
            <v>177.39990234375</v>
          </cell>
          <cell r="EM207">
            <v>177.39990234375</v>
          </cell>
          <cell r="EN207">
            <v>0</v>
          </cell>
          <cell r="EO207">
            <v>0</v>
          </cell>
          <cell r="EP207">
            <v>0</v>
          </cell>
          <cell r="EQ207">
            <v>0</v>
          </cell>
          <cell r="ER207">
            <v>0</v>
          </cell>
          <cell r="ES207">
            <v>0</v>
          </cell>
          <cell r="ET207">
            <v>0</v>
          </cell>
          <cell r="EU207">
            <v>0</v>
          </cell>
          <cell r="EV207">
            <v>0</v>
          </cell>
          <cell r="EW207">
            <v>0</v>
          </cell>
          <cell r="EX207">
            <v>0</v>
          </cell>
          <cell r="EY207">
            <v>0</v>
          </cell>
          <cell r="EZ207">
            <v>0</v>
          </cell>
          <cell r="FA207">
            <v>0</v>
          </cell>
          <cell r="FB207">
            <v>0</v>
          </cell>
          <cell r="FC207">
            <v>0</v>
          </cell>
          <cell r="FD207">
            <v>0</v>
          </cell>
          <cell r="FE207">
            <v>0</v>
          </cell>
          <cell r="FF207">
            <v>19.02</v>
          </cell>
          <cell r="FG207">
            <v>19.019989013671875</v>
          </cell>
          <cell r="FH207" t="str">
            <v>С УЛК (ЖЭУ)</v>
          </cell>
          <cell r="FI207">
            <v>43647</v>
          </cell>
          <cell r="FJ207">
            <v>15477</v>
          </cell>
          <cell r="FK207">
            <v>15477</v>
          </cell>
          <cell r="FL207">
            <v>469.4</v>
          </cell>
          <cell r="FM207">
            <v>78.92</v>
          </cell>
          <cell r="FN207">
            <v>216.08</v>
          </cell>
          <cell r="FO207">
            <v>648.24</v>
          </cell>
        </row>
        <row r="208">
          <cell r="AI208" t="str">
            <v>Ул. Мусы Джалиля дом 5</v>
          </cell>
          <cell r="AJ208">
            <v>648.23974609375</v>
          </cell>
          <cell r="AK208">
            <v>634.4</v>
          </cell>
          <cell r="AL208">
            <v>371.7</v>
          </cell>
          <cell r="AM208">
            <v>2</v>
          </cell>
          <cell r="AN208">
            <v>2</v>
          </cell>
          <cell r="AO208" t="str">
            <v>АО УЖХ Демского района</v>
          </cell>
          <cell r="AP208">
            <v>576.4</v>
          </cell>
          <cell r="AQ208">
            <v>58.5</v>
          </cell>
          <cell r="AR208">
            <v>64.900000000000006</v>
          </cell>
          <cell r="AS208">
            <v>6.2</v>
          </cell>
          <cell r="AT208">
            <v>12</v>
          </cell>
          <cell r="AU208">
            <v>2</v>
          </cell>
          <cell r="AV208">
            <v>37</v>
          </cell>
          <cell r="AW208">
            <v>0</v>
          </cell>
          <cell r="AX208">
            <v>0</v>
          </cell>
          <cell r="AY208">
            <v>0</v>
          </cell>
          <cell r="AZ208">
            <v>925.9</v>
          </cell>
          <cell r="BA208">
            <v>952</v>
          </cell>
          <cell r="BB208">
            <v>952</v>
          </cell>
          <cell r="BC208" t="str">
            <v>Непосредственное</v>
          </cell>
          <cell r="BD208" t="str">
            <v>1. Жилой дом</v>
          </cell>
          <cell r="BE208">
            <v>67.75</v>
          </cell>
          <cell r="BF208" t="str">
            <v>2.Чёрный</v>
          </cell>
          <cell r="BG208">
            <v>67.75</v>
          </cell>
          <cell r="BH208" t="str">
            <v>3.Водяной</v>
          </cell>
          <cell r="BI208" t="str">
            <v>МУП УИС</v>
          </cell>
          <cell r="BJ208" t="str">
            <v>1. Чугун</v>
          </cell>
          <cell r="BK208">
            <v>67.75</v>
          </cell>
          <cell r="BL208" t="str">
            <v>4.Шлакоблок</v>
          </cell>
          <cell r="BM208">
            <v>20455</v>
          </cell>
          <cell r="BN208">
            <v>12</v>
          </cell>
          <cell r="BO208" t="str">
            <v>Оборудован</v>
          </cell>
          <cell r="BP208" t="str">
            <v>1.Абсоцемент(шифер)</v>
          </cell>
          <cell r="BQ208" t="str">
            <v>1.Скатная</v>
          </cell>
          <cell r="BR208">
            <v>612.29999999999995</v>
          </cell>
          <cell r="BS208">
            <v>162.9</v>
          </cell>
          <cell r="BT208">
            <v>162.89990234375</v>
          </cell>
          <cell r="BU208">
            <v>162.89990234375</v>
          </cell>
          <cell r="BV208">
            <v>0</v>
          </cell>
          <cell r="BW208" t="str">
            <v>3.Частный жилищный фонд</v>
          </cell>
          <cell r="BX208">
            <v>12</v>
          </cell>
          <cell r="BY208">
            <v>0</v>
          </cell>
          <cell r="BZ208" t="str">
            <v>3-я</v>
          </cell>
          <cell r="CA208">
            <v>1</v>
          </cell>
          <cell r="CB208">
            <v>27.01</v>
          </cell>
          <cell r="CC208">
            <v>1</v>
          </cell>
          <cell r="CD208">
            <v>1</v>
          </cell>
          <cell r="CE208">
            <v>1</v>
          </cell>
          <cell r="CF208" t="str">
            <v>ООО "Гранд"</v>
          </cell>
          <cell r="CG208">
            <v>11</v>
          </cell>
          <cell r="CH208">
            <v>1</v>
          </cell>
          <cell r="CI208">
            <v>1</v>
          </cell>
          <cell r="CJ208">
            <v>1</v>
          </cell>
          <cell r="CK208">
            <v>0</v>
          </cell>
          <cell r="CL208">
            <v>0</v>
          </cell>
          <cell r="CM208">
            <v>12</v>
          </cell>
          <cell r="CN208">
            <v>71.099999999999994</v>
          </cell>
          <cell r="CO208">
            <v>0</v>
          </cell>
          <cell r="CP208">
            <v>234</v>
          </cell>
          <cell r="CQ208">
            <v>234</v>
          </cell>
          <cell r="CR208">
            <v>234</v>
          </cell>
          <cell r="CS208">
            <v>0</v>
          </cell>
          <cell r="CT208">
            <v>12</v>
          </cell>
          <cell r="CU208">
            <v>0</v>
          </cell>
          <cell r="CV208">
            <v>0</v>
          </cell>
          <cell r="CW208">
            <v>0</v>
          </cell>
          <cell r="CX208">
            <v>1</v>
          </cell>
          <cell r="CY208">
            <v>1</v>
          </cell>
          <cell r="CZ208">
            <v>3024</v>
          </cell>
          <cell r="DA208" t="str">
            <v>Демский</v>
          </cell>
          <cell r="DB208" t="str">
            <v>3.Сборные ж/б панели</v>
          </cell>
          <cell r="DC208">
            <v>3024</v>
          </cell>
          <cell r="DD208">
            <v>3024</v>
          </cell>
          <cell r="DE208">
            <v>3024</v>
          </cell>
          <cell r="DF208">
            <v>3024</v>
          </cell>
          <cell r="DG208">
            <v>3024</v>
          </cell>
          <cell r="DH208">
            <v>3024</v>
          </cell>
          <cell r="DI208">
            <v>3024</v>
          </cell>
          <cell r="DJ208">
            <v>3024</v>
          </cell>
          <cell r="DK208">
            <v>0</v>
          </cell>
          <cell r="DL208">
            <v>0</v>
          </cell>
          <cell r="DM208">
            <v>1202459</v>
          </cell>
          <cell r="DN208">
            <v>0</v>
          </cell>
          <cell r="DO208">
            <v>0</v>
          </cell>
          <cell r="DP208" t="str">
            <v>УЖХ</v>
          </cell>
          <cell r="DQ208">
            <v>35501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 t="str">
            <v>3.Зависимая схема</v>
          </cell>
          <cell r="EE208" t="str">
            <v>Нижний</v>
          </cell>
          <cell r="EF208">
            <v>0</v>
          </cell>
          <cell r="EG208">
            <v>0</v>
          </cell>
          <cell r="EH208">
            <v>0</v>
          </cell>
          <cell r="EI208">
            <v>952</v>
          </cell>
          <cell r="EJ208">
            <v>205.9</v>
          </cell>
          <cell r="EK208">
            <v>720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0</v>
          </cell>
          <cell r="ER208">
            <v>0</v>
          </cell>
          <cell r="ES208">
            <v>0</v>
          </cell>
          <cell r="ET208">
            <v>0</v>
          </cell>
          <cell r="EU208">
            <v>0</v>
          </cell>
          <cell r="EV208">
            <v>0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  <cell r="FA208">
            <v>0</v>
          </cell>
          <cell r="FB208">
            <v>0</v>
          </cell>
          <cell r="FC208">
            <v>0</v>
          </cell>
          <cell r="FD208">
            <v>0</v>
          </cell>
          <cell r="FE208">
            <v>0</v>
          </cell>
          <cell r="FF208">
            <v>20.16</v>
          </cell>
          <cell r="FG208">
            <v>20.159988403320313</v>
          </cell>
          <cell r="FH208" t="str">
            <v>С УЛК (ЖЭУ)</v>
          </cell>
          <cell r="FI208">
            <v>43647</v>
          </cell>
          <cell r="FJ208">
            <v>15477</v>
          </cell>
          <cell r="FK208">
            <v>15477</v>
          </cell>
          <cell r="FL208">
            <v>868.4</v>
          </cell>
          <cell r="FM208">
            <v>78.92</v>
          </cell>
          <cell r="FN208">
            <v>1271.1599999999999</v>
          </cell>
          <cell r="FO208">
            <v>3813.4799999999996</v>
          </cell>
        </row>
        <row r="209">
          <cell r="AI209" t="str">
            <v>Ул. Мусы Джалиля дом 6</v>
          </cell>
          <cell r="AJ209">
            <v>3813.478515625</v>
          </cell>
          <cell r="AK209">
            <v>644.79999999999995</v>
          </cell>
          <cell r="AL209">
            <v>406.4</v>
          </cell>
          <cell r="AM209">
            <v>2</v>
          </cell>
          <cell r="AN209">
            <v>2</v>
          </cell>
          <cell r="AO209" t="str">
            <v>АО УЖХ Демского района</v>
          </cell>
          <cell r="AP209">
            <v>490.8</v>
          </cell>
          <cell r="AQ209">
            <v>150.30000000000001</v>
          </cell>
          <cell r="AR209">
            <v>73.8</v>
          </cell>
          <cell r="AS209">
            <v>6.9</v>
          </cell>
          <cell r="AT209">
            <v>12</v>
          </cell>
          <cell r="AU209">
            <v>2</v>
          </cell>
          <cell r="AV209">
            <v>34</v>
          </cell>
          <cell r="AW209">
            <v>0</v>
          </cell>
          <cell r="AX209">
            <v>0</v>
          </cell>
          <cell r="AY209">
            <v>0</v>
          </cell>
          <cell r="AZ209">
            <v>586.29999999999995</v>
          </cell>
          <cell r="BA209">
            <v>1665.3</v>
          </cell>
          <cell r="BB209">
            <v>1665.2998046875</v>
          </cell>
          <cell r="BC209" t="str">
            <v>Непосредственное</v>
          </cell>
          <cell r="BD209" t="str">
            <v>1. Жилой дом</v>
          </cell>
          <cell r="BE209">
            <v>67.75</v>
          </cell>
          <cell r="BF209" t="str">
            <v>1.Оцинкованный</v>
          </cell>
          <cell r="BG209">
            <v>67.75</v>
          </cell>
          <cell r="BH209" t="str">
            <v>3.Водяной</v>
          </cell>
          <cell r="BI209" t="str">
            <v>МУП УИС</v>
          </cell>
          <cell r="BJ209" t="str">
            <v>1. Чугун</v>
          </cell>
          <cell r="BK209">
            <v>67.75</v>
          </cell>
          <cell r="BL209" t="str">
            <v>4.Шлакоблок</v>
          </cell>
          <cell r="BM209">
            <v>20455</v>
          </cell>
          <cell r="BN209">
            <v>12</v>
          </cell>
          <cell r="BO209" t="str">
            <v>Оборудован</v>
          </cell>
          <cell r="BP209" t="str">
            <v>8.Профнастил</v>
          </cell>
          <cell r="BQ209" t="str">
            <v>1.Скатная</v>
          </cell>
          <cell r="BR209">
            <v>657</v>
          </cell>
          <cell r="BS209">
            <v>93.3</v>
          </cell>
          <cell r="BT209">
            <v>93.29998779296875</v>
          </cell>
          <cell r="BU209">
            <v>93.29998779296875</v>
          </cell>
          <cell r="BV209">
            <v>0</v>
          </cell>
          <cell r="BW209" t="str">
            <v>3.Частный жилищный фонд</v>
          </cell>
          <cell r="BX209">
            <v>12</v>
          </cell>
          <cell r="BY209">
            <v>0</v>
          </cell>
          <cell r="BZ209" t="str">
            <v>3-я</v>
          </cell>
          <cell r="CA209">
            <v>1</v>
          </cell>
          <cell r="CB209">
            <v>27.01</v>
          </cell>
          <cell r="CC209">
            <v>1</v>
          </cell>
          <cell r="CD209">
            <v>1</v>
          </cell>
          <cell r="CE209">
            <v>1</v>
          </cell>
          <cell r="CF209" t="str">
            <v>ООО "Гранд"</v>
          </cell>
          <cell r="CG209">
            <v>9</v>
          </cell>
          <cell r="CH209">
            <v>3</v>
          </cell>
          <cell r="CI209">
            <v>3</v>
          </cell>
          <cell r="CJ209">
            <v>3</v>
          </cell>
          <cell r="CK209">
            <v>0</v>
          </cell>
          <cell r="CL209">
            <v>0</v>
          </cell>
          <cell r="CM209">
            <v>13</v>
          </cell>
          <cell r="CN209">
            <v>80.7</v>
          </cell>
          <cell r="CO209">
            <v>0</v>
          </cell>
          <cell r="CP209">
            <v>174</v>
          </cell>
          <cell r="CQ209">
            <v>174</v>
          </cell>
          <cell r="CR209">
            <v>174</v>
          </cell>
          <cell r="CS209">
            <v>0</v>
          </cell>
          <cell r="CT209">
            <v>12</v>
          </cell>
          <cell r="CU209">
            <v>0</v>
          </cell>
          <cell r="CV209">
            <v>0</v>
          </cell>
          <cell r="CW209">
            <v>0</v>
          </cell>
          <cell r="CX209">
            <v>1</v>
          </cell>
          <cell r="CY209">
            <v>1</v>
          </cell>
          <cell r="CZ209">
            <v>2905</v>
          </cell>
          <cell r="DA209" t="str">
            <v>Демский</v>
          </cell>
          <cell r="DB209" t="str">
            <v>2.Деревянные</v>
          </cell>
          <cell r="DC209">
            <v>2905</v>
          </cell>
          <cell r="DD209">
            <v>2905</v>
          </cell>
          <cell r="DE209">
            <v>2905</v>
          </cell>
          <cell r="DF209">
            <v>2905</v>
          </cell>
          <cell r="DG209">
            <v>2905</v>
          </cell>
          <cell r="DH209">
            <v>2905</v>
          </cell>
          <cell r="DI209">
            <v>2905</v>
          </cell>
          <cell r="DJ209">
            <v>2905</v>
          </cell>
          <cell r="DK209">
            <v>0</v>
          </cell>
          <cell r="DL209">
            <v>0</v>
          </cell>
          <cell r="DM209">
            <v>1217346</v>
          </cell>
          <cell r="DN209">
            <v>0</v>
          </cell>
          <cell r="DO209">
            <v>0</v>
          </cell>
          <cell r="DP209" t="str">
            <v>УЖХ</v>
          </cell>
          <cell r="DQ209">
            <v>35501</v>
          </cell>
          <cell r="DR209">
            <v>0</v>
          </cell>
          <cell r="DS209">
            <v>0</v>
          </cell>
          <cell r="DT209">
            <v>0</v>
          </cell>
          <cell r="DU209">
            <v>0</v>
          </cell>
          <cell r="DV209">
            <v>0</v>
          </cell>
          <cell r="DW209">
            <v>0</v>
          </cell>
          <cell r="DX209">
            <v>0</v>
          </cell>
          <cell r="DY209">
            <v>0</v>
          </cell>
          <cell r="DZ209">
            <v>0</v>
          </cell>
          <cell r="EA209">
            <v>0</v>
          </cell>
          <cell r="EB209">
            <v>0</v>
          </cell>
          <cell r="EC209">
            <v>0</v>
          </cell>
          <cell r="ED209" t="str">
            <v>3.Зависимая схема</v>
          </cell>
          <cell r="EE209" t="str">
            <v>Верхний</v>
          </cell>
          <cell r="EF209">
            <v>0</v>
          </cell>
          <cell r="EG209">
            <v>0</v>
          </cell>
          <cell r="EH209">
            <v>0</v>
          </cell>
          <cell r="EI209">
            <v>1665.3</v>
          </cell>
          <cell r="EJ209">
            <v>451.1</v>
          </cell>
          <cell r="EK209">
            <v>80.2</v>
          </cell>
          <cell r="EL209">
            <v>80.199951171875</v>
          </cell>
          <cell r="EM209">
            <v>11</v>
          </cell>
          <cell r="EN209">
            <v>0</v>
          </cell>
          <cell r="EO209">
            <v>0</v>
          </cell>
          <cell r="EP209">
            <v>0</v>
          </cell>
          <cell r="EQ209">
            <v>0</v>
          </cell>
          <cell r="ER209">
            <v>0</v>
          </cell>
          <cell r="ES209">
            <v>0</v>
          </cell>
          <cell r="ET209">
            <v>0</v>
          </cell>
          <cell r="EU209">
            <v>0</v>
          </cell>
          <cell r="EV209">
            <v>0</v>
          </cell>
          <cell r="EW209">
            <v>0</v>
          </cell>
          <cell r="EX209">
            <v>0</v>
          </cell>
          <cell r="EY209">
            <v>0</v>
          </cell>
          <cell r="EZ209">
            <v>0</v>
          </cell>
          <cell r="FA209">
            <v>44</v>
          </cell>
          <cell r="FB209">
            <v>1</v>
          </cell>
          <cell r="FC209">
            <v>1</v>
          </cell>
          <cell r="FD209">
            <v>0</v>
          </cell>
          <cell r="FE209">
            <v>0</v>
          </cell>
          <cell r="FF209">
            <v>20.260000000000002</v>
          </cell>
          <cell r="FG209">
            <v>20.259994506835938</v>
          </cell>
          <cell r="FH209" t="str">
            <v>С УЛК (ЖЭУ)</v>
          </cell>
          <cell r="FI209">
            <v>43647</v>
          </cell>
          <cell r="FJ209">
            <v>15477</v>
          </cell>
          <cell r="FK209">
            <v>15477</v>
          </cell>
          <cell r="FL209">
            <v>818.8</v>
          </cell>
          <cell r="FM209">
            <v>78.92</v>
          </cell>
          <cell r="FN209">
            <v>1271.1599999999999</v>
          </cell>
          <cell r="FO209">
            <v>3813.4799999999996</v>
          </cell>
        </row>
        <row r="210">
          <cell r="AI210" t="str">
            <v>Ул. Мусы Джалиля дом 74/3</v>
          </cell>
          <cell r="AJ210">
            <v>3813.478515625</v>
          </cell>
          <cell r="AK210">
            <v>1790</v>
          </cell>
          <cell r="AL210">
            <v>857.3</v>
          </cell>
          <cell r="AM210">
            <v>1</v>
          </cell>
          <cell r="AN210">
            <v>1</v>
          </cell>
          <cell r="AO210" t="str">
            <v>АО УЖХ Демского района</v>
          </cell>
          <cell r="AP210">
            <v>1746.3</v>
          </cell>
          <cell r="AQ210">
            <v>43.7</v>
          </cell>
          <cell r="AR210">
            <v>150</v>
          </cell>
          <cell r="AS210">
            <v>115</v>
          </cell>
          <cell r="AT210">
            <v>37</v>
          </cell>
          <cell r="AU210">
            <v>10</v>
          </cell>
          <cell r="AV210">
            <v>77</v>
          </cell>
          <cell r="AW210">
            <v>0</v>
          </cell>
          <cell r="AX210" t="str">
            <v>отказ от услуги</v>
          </cell>
          <cell r="AY210">
            <v>106.7</v>
          </cell>
          <cell r="AZ210">
            <v>656.1</v>
          </cell>
          <cell r="BA210">
            <v>1224</v>
          </cell>
          <cell r="BB210">
            <v>1224</v>
          </cell>
          <cell r="BC210" t="str">
            <v>Управляющая компания</v>
          </cell>
          <cell r="BD210" t="str">
            <v>1. Жилой дом</v>
          </cell>
          <cell r="BE210">
            <v>19.8</v>
          </cell>
          <cell r="BF210" t="str">
            <v>1.Оцинкованный</v>
          </cell>
          <cell r="BG210" t="str">
            <v>1.Оцинкованный</v>
          </cell>
          <cell r="BH210" t="str">
            <v>3.Водяной</v>
          </cell>
          <cell r="BI210" t="str">
            <v>МУП УИС</v>
          </cell>
          <cell r="BJ210" t="str">
            <v>1. Чугун</v>
          </cell>
          <cell r="BK210">
            <v>1</v>
          </cell>
          <cell r="BL210" t="str">
            <v>2.Кирпич</v>
          </cell>
          <cell r="BM210">
            <v>36161</v>
          </cell>
          <cell r="BN210">
            <v>36161</v>
          </cell>
          <cell r="BO210" t="str">
            <v>Оборудован</v>
          </cell>
          <cell r="BP210" t="str">
            <v>4.Мягк/рулонная</v>
          </cell>
          <cell r="BQ210" t="str">
            <v>2.Плоская</v>
          </cell>
          <cell r="BR210">
            <v>371</v>
          </cell>
          <cell r="BS210">
            <v>776</v>
          </cell>
          <cell r="BT210">
            <v>776</v>
          </cell>
          <cell r="BU210">
            <v>875</v>
          </cell>
          <cell r="BV210">
            <v>875</v>
          </cell>
          <cell r="BW210" t="str">
            <v>3.Частный жилищный фонд</v>
          </cell>
          <cell r="BX210">
            <v>0</v>
          </cell>
          <cell r="BY210">
            <v>37</v>
          </cell>
          <cell r="BZ210" t="str">
            <v>2-я</v>
          </cell>
          <cell r="CA210">
            <v>1</v>
          </cell>
          <cell r="CB210">
            <v>27.01</v>
          </cell>
          <cell r="CC210">
            <v>27.009994506835938</v>
          </cell>
          <cell r="CD210">
            <v>1790</v>
          </cell>
          <cell r="CE210">
            <v>1790</v>
          </cell>
          <cell r="CF210" t="str">
            <v>ООО "Дёма Комфорт"</v>
          </cell>
          <cell r="CG210">
            <v>36</v>
          </cell>
          <cell r="CH210">
            <v>1</v>
          </cell>
          <cell r="CI210">
            <v>1</v>
          </cell>
          <cell r="CJ210" t="str">
            <v>не предусмотрено проектом</v>
          </cell>
          <cell r="CK210">
            <v>0</v>
          </cell>
          <cell r="CL210">
            <v>1</v>
          </cell>
          <cell r="CM210">
            <v>37</v>
          </cell>
          <cell r="CN210">
            <v>265</v>
          </cell>
          <cell r="CO210">
            <v>265</v>
          </cell>
          <cell r="CP210">
            <v>1916</v>
          </cell>
          <cell r="CQ210">
            <v>1916</v>
          </cell>
          <cell r="CR210">
            <v>1916</v>
          </cell>
          <cell r="CS210">
            <v>1</v>
          </cell>
          <cell r="CT210">
            <v>37</v>
          </cell>
          <cell r="CU210">
            <v>0</v>
          </cell>
          <cell r="CV210">
            <v>31</v>
          </cell>
          <cell r="CW210">
            <v>31</v>
          </cell>
          <cell r="CX210">
            <v>1</v>
          </cell>
          <cell r="CY210">
            <v>1</v>
          </cell>
          <cell r="CZ210">
            <v>9706</v>
          </cell>
          <cell r="DA210" t="str">
            <v>Демский</v>
          </cell>
          <cell r="DB210" t="str">
            <v>1.Плита монолит/бетон</v>
          </cell>
          <cell r="DC210">
            <v>9706</v>
          </cell>
          <cell r="DD210">
            <v>9706</v>
          </cell>
          <cell r="DE210">
            <v>9706</v>
          </cell>
          <cell r="DF210">
            <v>9706</v>
          </cell>
          <cell r="DG210">
            <v>9706</v>
          </cell>
          <cell r="DH210">
            <v>9706</v>
          </cell>
          <cell r="DI210">
            <v>9706</v>
          </cell>
          <cell r="DJ210" t="str">
            <v>АО УЖХ Демского района</v>
          </cell>
          <cell r="DK210">
            <v>9706</v>
          </cell>
          <cell r="DL210">
            <v>9706</v>
          </cell>
          <cell r="DM210">
            <v>1353776</v>
          </cell>
          <cell r="DN210">
            <v>1</v>
          </cell>
          <cell r="DO210" t="str">
            <v>ГВС</v>
          </cell>
          <cell r="DP210" t="str">
            <v>УЖХ</v>
          </cell>
          <cell r="DQ210">
            <v>36486</v>
          </cell>
          <cell r="DR210">
            <v>0</v>
          </cell>
          <cell r="DS210">
            <v>37</v>
          </cell>
          <cell r="DT210">
            <v>0</v>
          </cell>
          <cell r="DU210">
            <v>0</v>
          </cell>
          <cell r="DV210">
            <v>0</v>
          </cell>
          <cell r="DW210">
            <v>0</v>
          </cell>
          <cell r="DX210">
            <v>0</v>
          </cell>
          <cell r="DY210">
            <v>0</v>
          </cell>
          <cell r="DZ210">
            <v>0</v>
          </cell>
          <cell r="EA210">
            <v>0</v>
          </cell>
          <cell r="EB210">
            <v>0</v>
          </cell>
          <cell r="EC210">
            <v>0</v>
          </cell>
          <cell r="ED210" t="str">
            <v>4. Независимая схема</v>
          </cell>
          <cell r="EE210" t="str">
            <v>Верхний</v>
          </cell>
          <cell r="EF210">
            <v>0</v>
          </cell>
          <cell r="EG210">
            <v>0</v>
          </cell>
          <cell r="EH210">
            <v>0</v>
          </cell>
          <cell r="EI210">
            <v>1224</v>
          </cell>
          <cell r="EJ210">
            <v>0</v>
          </cell>
          <cell r="EK210">
            <v>563</v>
          </cell>
          <cell r="EL210">
            <v>0</v>
          </cell>
          <cell r="EM210">
            <v>93.1</v>
          </cell>
          <cell r="EN210">
            <v>0</v>
          </cell>
          <cell r="EO210">
            <v>0</v>
          </cell>
          <cell r="EP210">
            <v>0</v>
          </cell>
          <cell r="EQ210">
            <v>0</v>
          </cell>
          <cell r="ER210">
            <v>0</v>
          </cell>
          <cell r="ES210">
            <v>0</v>
          </cell>
          <cell r="ET210">
            <v>0</v>
          </cell>
          <cell r="EU210">
            <v>0</v>
          </cell>
          <cell r="EV210">
            <v>0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  <cell r="FA210">
            <v>0</v>
          </cell>
          <cell r="FB210">
            <v>0</v>
          </cell>
          <cell r="FC210">
            <v>0</v>
          </cell>
          <cell r="FD210">
            <v>0</v>
          </cell>
          <cell r="FE210">
            <v>0</v>
          </cell>
          <cell r="FF210">
            <v>21.59</v>
          </cell>
          <cell r="FG210">
            <v>2</v>
          </cell>
          <cell r="FH210">
            <v>2</v>
          </cell>
          <cell r="FI210">
            <v>44682</v>
          </cell>
          <cell r="FJ210">
            <v>15477</v>
          </cell>
          <cell r="FK210">
            <v>15477</v>
          </cell>
          <cell r="FL210">
            <v>2937.7</v>
          </cell>
          <cell r="FM210">
            <v>78.92</v>
          </cell>
          <cell r="FN210">
            <v>999.37</v>
          </cell>
          <cell r="FO210">
            <v>2998.11</v>
          </cell>
        </row>
        <row r="211">
          <cell r="AI211" t="str">
            <v>Ул. Мусы Джалиля дом 8</v>
          </cell>
          <cell r="AJ211">
            <v>2998.109375</v>
          </cell>
          <cell r="AK211">
            <v>372.8</v>
          </cell>
          <cell r="AL211">
            <v>243.8</v>
          </cell>
          <cell r="AM211">
            <v>1</v>
          </cell>
          <cell r="AN211">
            <v>1</v>
          </cell>
          <cell r="AO211" t="str">
            <v>АО УЖХ Демского района</v>
          </cell>
          <cell r="AP211">
            <v>272</v>
          </cell>
          <cell r="AQ211">
            <v>100.3</v>
          </cell>
          <cell r="AR211">
            <v>27.9</v>
          </cell>
          <cell r="AS211">
            <v>3.4</v>
          </cell>
          <cell r="AT211">
            <v>8</v>
          </cell>
          <cell r="AU211">
            <v>2</v>
          </cell>
          <cell r="AV211">
            <v>19</v>
          </cell>
          <cell r="AW211">
            <v>0</v>
          </cell>
          <cell r="AX211">
            <v>0</v>
          </cell>
          <cell r="AY211">
            <v>0</v>
          </cell>
          <cell r="AZ211">
            <v>281</v>
          </cell>
          <cell r="BA211">
            <v>513.9</v>
          </cell>
          <cell r="BB211">
            <v>513.89990234375</v>
          </cell>
          <cell r="BC211" t="str">
            <v>Непосредственное</v>
          </cell>
          <cell r="BD211" t="str">
            <v>1. Жилой дом</v>
          </cell>
          <cell r="BE211">
            <v>73.75</v>
          </cell>
          <cell r="BF211" t="str">
            <v>3.Полипропилен</v>
          </cell>
          <cell r="BG211">
            <v>73.75</v>
          </cell>
          <cell r="BH211" t="str">
            <v>3.Водяной</v>
          </cell>
          <cell r="BI211" t="str">
            <v>МУП УИС</v>
          </cell>
          <cell r="BJ211" t="str">
            <v>2. ПВХ</v>
          </cell>
          <cell r="BK211">
            <v>73.75</v>
          </cell>
          <cell r="BL211" t="str">
            <v>4.Шлакоблок</v>
          </cell>
          <cell r="BM211">
            <v>18264</v>
          </cell>
          <cell r="BN211">
            <v>18264</v>
          </cell>
          <cell r="BO211" t="str">
            <v>Не оборудован</v>
          </cell>
          <cell r="BP211" t="str">
            <v>8.Профнастил</v>
          </cell>
          <cell r="BQ211" t="str">
            <v>1.Скатная</v>
          </cell>
          <cell r="BR211">
            <v>387</v>
          </cell>
          <cell r="BS211">
            <v>84</v>
          </cell>
          <cell r="BT211">
            <v>84</v>
          </cell>
          <cell r="BU211">
            <v>84</v>
          </cell>
          <cell r="BV211">
            <v>0</v>
          </cell>
          <cell r="BW211" t="str">
            <v>3.Частный жилищный фонд</v>
          </cell>
          <cell r="BX211">
            <v>8</v>
          </cell>
          <cell r="BY211">
            <v>0</v>
          </cell>
          <cell r="BZ211" t="str">
            <v>3-я</v>
          </cell>
          <cell r="CA211">
            <v>1</v>
          </cell>
          <cell r="CB211">
            <v>27.01</v>
          </cell>
          <cell r="CC211">
            <v>27.009994506835938</v>
          </cell>
          <cell r="CD211">
            <v>27.009994506835938</v>
          </cell>
          <cell r="CE211">
            <v>27.009994506835938</v>
          </cell>
          <cell r="CF211" t="str">
            <v>ООО "Гранд"</v>
          </cell>
          <cell r="CG211">
            <v>6</v>
          </cell>
          <cell r="CH211">
            <v>2</v>
          </cell>
          <cell r="CI211">
            <v>2</v>
          </cell>
          <cell r="CJ211">
            <v>2</v>
          </cell>
          <cell r="CK211">
            <v>0</v>
          </cell>
          <cell r="CL211">
            <v>0</v>
          </cell>
          <cell r="CM211">
            <v>8</v>
          </cell>
          <cell r="CN211">
            <v>31.3</v>
          </cell>
          <cell r="CO211">
            <v>0</v>
          </cell>
          <cell r="CP211">
            <v>115.3</v>
          </cell>
          <cell r="CQ211">
            <v>115.29998779296875</v>
          </cell>
          <cell r="CR211">
            <v>115.29998779296875</v>
          </cell>
          <cell r="CS211">
            <v>0</v>
          </cell>
          <cell r="CT211">
            <v>8</v>
          </cell>
          <cell r="CU211">
            <v>0</v>
          </cell>
          <cell r="CV211">
            <v>0</v>
          </cell>
          <cell r="CW211">
            <v>0</v>
          </cell>
          <cell r="CX211">
            <v>1</v>
          </cell>
          <cell r="CY211">
            <v>1</v>
          </cell>
          <cell r="CZ211">
            <v>1658</v>
          </cell>
          <cell r="DA211" t="str">
            <v>Демский</v>
          </cell>
          <cell r="DB211" t="str">
            <v>2.Деревянные</v>
          </cell>
          <cell r="DC211">
            <v>1658</v>
          </cell>
          <cell r="DD211">
            <v>1658</v>
          </cell>
          <cell r="DE211">
            <v>1658</v>
          </cell>
          <cell r="DF211">
            <v>1658</v>
          </cell>
          <cell r="DG211">
            <v>1658</v>
          </cell>
          <cell r="DH211">
            <v>1658</v>
          </cell>
          <cell r="DI211">
            <v>1658</v>
          </cell>
          <cell r="DJ211">
            <v>1658</v>
          </cell>
          <cell r="DK211">
            <v>0</v>
          </cell>
          <cell r="DL211">
            <v>0</v>
          </cell>
          <cell r="DM211">
            <v>611624</v>
          </cell>
          <cell r="DN211">
            <v>0</v>
          </cell>
          <cell r="DO211">
            <v>0</v>
          </cell>
          <cell r="DP211" t="str">
            <v>УЖХ</v>
          </cell>
          <cell r="DQ211">
            <v>36178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 t="str">
            <v>3.Зависимая схема</v>
          </cell>
          <cell r="EE211" t="str">
            <v>Верхний</v>
          </cell>
          <cell r="EF211">
            <v>0</v>
          </cell>
          <cell r="EG211">
            <v>0</v>
          </cell>
          <cell r="EH211">
            <v>0</v>
          </cell>
          <cell r="EI211">
            <v>513.9</v>
          </cell>
          <cell r="EJ211">
            <v>109</v>
          </cell>
          <cell r="EK211">
            <v>126</v>
          </cell>
          <cell r="EL211">
            <v>26</v>
          </cell>
          <cell r="EM211">
            <v>20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  <cell r="FA211">
            <v>0</v>
          </cell>
          <cell r="FB211">
            <v>0</v>
          </cell>
          <cell r="FC211">
            <v>0</v>
          </cell>
          <cell r="FD211">
            <v>0</v>
          </cell>
          <cell r="FE211">
            <v>0</v>
          </cell>
          <cell r="FF211">
            <v>17.239999999999998</v>
          </cell>
          <cell r="FG211">
            <v>17.239990234375</v>
          </cell>
          <cell r="FH211" t="str">
            <v>С УЛК (ЖЭУ)</v>
          </cell>
          <cell r="FI211">
            <v>43647</v>
          </cell>
          <cell r="FJ211">
            <v>15477</v>
          </cell>
          <cell r="FK211">
            <v>15477</v>
          </cell>
          <cell r="FL211">
            <v>488.1</v>
          </cell>
          <cell r="FM211">
            <v>78.92</v>
          </cell>
          <cell r="FN211">
            <v>216.08</v>
          </cell>
          <cell r="FO211">
            <v>648.24</v>
          </cell>
        </row>
        <row r="212">
          <cell r="AI212" t="str">
            <v>Ул. Мусы Джалиля дом 10</v>
          </cell>
          <cell r="AJ212">
            <v>648.23974609375</v>
          </cell>
          <cell r="AK212">
            <v>1068</v>
          </cell>
          <cell r="AL212">
            <v>680.4</v>
          </cell>
          <cell r="AM212">
            <v>3</v>
          </cell>
          <cell r="AN212">
            <v>3</v>
          </cell>
          <cell r="AO212" t="str">
            <v>АО УЖХ Демского района</v>
          </cell>
          <cell r="AP212">
            <v>839.37</v>
          </cell>
          <cell r="AQ212">
            <v>230.23</v>
          </cell>
          <cell r="AR212">
            <v>95.3</v>
          </cell>
          <cell r="AS212">
            <v>9.3000000000000007</v>
          </cell>
          <cell r="AT212">
            <v>18</v>
          </cell>
          <cell r="AU212">
            <v>2</v>
          </cell>
          <cell r="AV212">
            <v>59</v>
          </cell>
          <cell r="AW212">
            <v>0</v>
          </cell>
          <cell r="AX212">
            <v>0</v>
          </cell>
          <cell r="AY212">
            <v>0</v>
          </cell>
          <cell r="AZ212">
            <v>828.9</v>
          </cell>
          <cell r="BA212">
            <v>615.29999999999995</v>
          </cell>
          <cell r="BB212">
            <v>615.2998046875</v>
          </cell>
          <cell r="BC212" t="str">
            <v>Непосредственное</v>
          </cell>
          <cell r="BD212" t="str">
            <v>1. Жилой дом</v>
          </cell>
          <cell r="BE212">
            <v>65.75</v>
          </cell>
          <cell r="BF212" t="str">
            <v>1.Оцинкованный</v>
          </cell>
          <cell r="BG212">
            <v>65.75</v>
          </cell>
          <cell r="BH212" t="str">
            <v>3.Водяной</v>
          </cell>
          <cell r="BI212" t="str">
            <v>МУП УИС</v>
          </cell>
          <cell r="BJ212" t="str">
            <v>1. Чугун</v>
          </cell>
          <cell r="BK212">
            <v>65.75</v>
          </cell>
          <cell r="BL212" t="str">
            <v>4.Шлакоблок</v>
          </cell>
          <cell r="BM212">
            <v>21186</v>
          </cell>
          <cell r="BN212">
            <v>18</v>
          </cell>
          <cell r="BO212" t="str">
            <v>Оборудован</v>
          </cell>
          <cell r="BP212" t="str">
            <v>8.Профнастил</v>
          </cell>
          <cell r="BQ212" t="str">
            <v>1.Скатная</v>
          </cell>
          <cell r="BR212">
            <v>1130</v>
          </cell>
          <cell r="BS212">
            <v>141</v>
          </cell>
          <cell r="BT212">
            <v>141</v>
          </cell>
          <cell r="BU212">
            <v>141</v>
          </cell>
          <cell r="BV212">
            <v>0</v>
          </cell>
          <cell r="BW212" t="str">
            <v>3.Частный жилищный фонд</v>
          </cell>
          <cell r="BX212">
            <v>18</v>
          </cell>
          <cell r="BY212">
            <v>0</v>
          </cell>
          <cell r="BZ212" t="str">
            <v>3-я</v>
          </cell>
          <cell r="CA212">
            <v>1</v>
          </cell>
          <cell r="CB212">
            <v>27.01</v>
          </cell>
          <cell r="CC212">
            <v>1</v>
          </cell>
          <cell r="CD212">
            <v>1</v>
          </cell>
          <cell r="CE212">
            <v>1</v>
          </cell>
          <cell r="CF212" t="str">
            <v>ООО "Гранд"</v>
          </cell>
          <cell r="CG212">
            <v>13</v>
          </cell>
          <cell r="CH212">
            <v>5</v>
          </cell>
          <cell r="CI212">
            <v>5</v>
          </cell>
          <cell r="CJ212">
            <v>5</v>
          </cell>
          <cell r="CK212">
            <v>0</v>
          </cell>
          <cell r="CL212">
            <v>0</v>
          </cell>
          <cell r="CM212">
            <v>24</v>
          </cell>
          <cell r="CN212">
            <v>104.6</v>
          </cell>
          <cell r="CO212">
            <v>0</v>
          </cell>
          <cell r="CP212">
            <v>245.6</v>
          </cell>
          <cell r="CQ212">
            <v>245.5999755859375</v>
          </cell>
          <cell r="CR212">
            <v>245.5999755859375</v>
          </cell>
          <cell r="CS212">
            <v>0</v>
          </cell>
          <cell r="CT212">
            <v>18</v>
          </cell>
          <cell r="CU212">
            <v>0</v>
          </cell>
          <cell r="CV212">
            <v>0</v>
          </cell>
          <cell r="CW212">
            <v>0</v>
          </cell>
          <cell r="CX212">
            <v>1</v>
          </cell>
          <cell r="CY212">
            <v>1</v>
          </cell>
          <cell r="CZ212">
            <v>4774</v>
          </cell>
          <cell r="DA212" t="str">
            <v>Демский</v>
          </cell>
          <cell r="DB212" t="str">
            <v>2.Деревянные</v>
          </cell>
          <cell r="DC212">
            <v>4774</v>
          </cell>
          <cell r="DD212">
            <v>4774</v>
          </cell>
          <cell r="DE212">
            <v>4774</v>
          </cell>
          <cell r="DF212">
            <v>4774</v>
          </cell>
          <cell r="DG212">
            <v>4774</v>
          </cell>
          <cell r="DH212">
            <v>4774</v>
          </cell>
          <cell r="DI212">
            <v>4774</v>
          </cell>
          <cell r="DJ212">
            <v>4774</v>
          </cell>
          <cell r="DK212">
            <v>0</v>
          </cell>
          <cell r="DL212">
            <v>0</v>
          </cell>
          <cell r="DM212">
            <v>2090885</v>
          </cell>
          <cell r="DN212">
            <v>0</v>
          </cell>
          <cell r="DO212">
            <v>0</v>
          </cell>
          <cell r="DP212" t="str">
            <v>УЖХ</v>
          </cell>
          <cell r="DQ212">
            <v>35501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 t="str">
            <v>3.Зависимая схема</v>
          </cell>
          <cell r="EE212" t="str">
            <v>Верхний</v>
          </cell>
          <cell r="EF212">
            <v>0</v>
          </cell>
          <cell r="EG212">
            <v>0</v>
          </cell>
          <cell r="EH212">
            <v>0</v>
          </cell>
          <cell r="EI212">
            <v>615.29999999999995</v>
          </cell>
          <cell r="EJ212">
            <v>279.10000000000002</v>
          </cell>
          <cell r="EK212">
            <v>442.2</v>
          </cell>
          <cell r="EL212">
            <v>442.199951171875</v>
          </cell>
          <cell r="EM212">
            <v>33.6</v>
          </cell>
          <cell r="EN212">
            <v>2</v>
          </cell>
          <cell r="EO212">
            <v>2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  <cell r="EW212">
            <v>10</v>
          </cell>
          <cell r="EX212">
            <v>1</v>
          </cell>
          <cell r="EY212">
            <v>1</v>
          </cell>
          <cell r="EZ212">
            <v>0</v>
          </cell>
          <cell r="FA212">
            <v>64</v>
          </cell>
          <cell r="FB212">
            <v>1</v>
          </cell>
          <cell r="FC212">
            <v>1</v>
          </cell>
          <cell r="FD212">
            <v>0</v>
          </cell>
          <cell r="FE212">
            <v>0</v>
          </cell>
          <cell r="FF212">
            <v>16.100000000000001</v>
          </cell>
          <cell r="FG212">
            <v>16.099990844726563</v>
          </cell>
          <cell r="FH212" t="str">
            <v>С УЛК (ЖЭУ)</v>
          </cell>
          <cell r="FI212">
            <v>43647</v>
          </cell>
          <cell r="FJ212">
            <v>15477</v>
          </cell>
          <cell r="FK212">
            <v>15477</v>
          </cell>
          <cell r="FL212">
            <v>1313.6</v>
          </cell>
          <cell r="FM212">
            <v>78.92</v>
          </cell>
          <cell r="FN212">
            <v>1906.74</v>
          </cell>
          <cell r="FO212">
            <v>5720.22</v>
          </cell>
        </row>
        <row r="213">
          <cell r="AI213" t="str">
            <v>Ул. Мусы Джалиля дом 64</v>
          </cell>
          <cell r="AJ213">
            <v>5720.21875</v>
          </cell>
          <cell r="AK213">
            <v>7948.6</v>
          </cell>
          <cell r="AL213">
            <v>4595</v>
          </cell>
          <cell r="AM213">
            <v>2</v>
          </cell>
          <cell r="AN213">
            <v>2</v>
          </cell>
          <cell r="AO213" t="str">
            <v>АО УЖХ Демского района</v>
          </cell>
          <cell r="AP213">
            <v>7424.15</v>
          </cell>
          <cell r="AQ213">
            <v>512.85</v>
          </cell>
          <cell r="AR213">
            <v>167.4</v>
          </cell>
          <cell r="AS213">
            <v>1726.6</v>
          </cell>
          <cell r="AT213">
            <v>182</v>
          </cell>
          <cell r="AU213">
            <v>9</v>
          </cell>
          <cell r="AV213">
            <v>473</v>
          </cell>
          <cell r="AW213">
            <v>0</v>
          </cell>
          <cell r="AX213" t="str">
            <v>отказ от услуги</v>
          </cell>
          <cell r="AY213">
            <v>58.4</v>
          </cell>
          <cell r="AZ213">
            <v>3613.1</v>
          </cell>
          <cell r="BA213">
            <v>3863.7</v>
          </cell>
          <cell r="BB213">
            <v>3863.69921875</v>
          </cell>
          <cell r="BC213" t="str">
            <v>Управляющая компания</v>
          </cell>
          <cell r="BD213" t="str">
            <v>1. Жилой дом</v>
          </cell>
          <cell r="BE213">
            <v>31</v>
          </cell>
          <cell r="BF213" t="str">
            <v>1.Оцинкованный</v>
          </cell>
          <cell r="BG213" t="str">
            <v>1.Оцинкованный</v>
          </cell>
          <cell r="BH213" t="str">
            <v>3.Водяной</v>
          </cell>
          <cell r="BI213" t="str">
            <v>МУП УИС</v>
          </cell>
          <cell r="BJ213" t="str">
            <v>1. Чугун</v>
          </cell>
          <cell r="BK213">
            <v>2</v>
          </cell>
          <cell r="BL213" t="str">
            <v>2.Кирпич</v>
          </cell>
          <cell r="BM213">
            <v>31048</v>
          </cell>
          <cell r="BN213">
            <v>31048</v>
          </cell>
          <cell r="BO213" t="str">
            <v>Не оборудован</v>
          </cell>
          <cell r="BP213" t="str">
            <v>4.Мягк/рулонная</v>
          </cell>
          <cell r="BQ213" t="str">
            <v>2.Плоская</v>
          </cell>
          <cell r="BR213">
            <v>1366</v>
          </cell>
          <cell r="BS213">
            <v>754.4</v>
          </cell>
          <cell r="BT213">
            <v>754.39990234375</v>
          </cell>
          <cell r="BU213">
            <v>754.39990234375</v>
          </cell>
          <cell r="BV213">
            <v>0</v>
          </cell>
          <cell r="BW213" t="str">
            <v>3.Частный жилищный фонд</v>
          </cell>
          <cell r="BX213">
            <v>0</v>
          </cell>
          <cell r="BY213">
            <v>182</v>
          </cell>
          <cell r="BZ213" t="str">
            <v>2-я</v>
          </cell>
          <cell r="CA213">
            <v>1</v>
          </cell>
          <cell r="CB213">
            <v>27.01</v>
          </cell>
          <cell r="CC213">
            <v>27.009994506835938</v>
          </cell>
          <cell r="CD213">
            <v>7937</v>
          </cell>
          <cell r="CE213">
            <v>7937</v>
          </cell>
          <cell r="CF213" t="str">
            <v>ООО "Дёма Комфорт"</v>
          </cell>
          <cell r="CG213">
            <v>168</v>
          </cell>
          <cell r="CH213">
            <v>14</v>
          </cell>
          <cell r="CI213">
            <v>14</v>
          </cell>
          <cell r="CJ213">
            <v>14</v>
          </cell>
          <cell r="CK213">
            <v>0</v>
          </cell>
          <cell r="CL213">
            <v>2</v>
          </cell>
          <cell r="CM213">
            <v>234</v>
          </cell>
          <cell r="CN213">
            <v>1894</v>
          </cell>
          <cell r="CO213">
            <v>1894</v>
          </cell>
          <cell r="CP213">
            <v>2648.4</v>
          </cell>
          <cell r="CQ213">
            <v>2648.3984375</v>
          </cell>
          <cell r="CR213">
            <v>2648.3984375</v>
          </cell>
          <cell r="CS213">
            <v>4</v>
          </cell>
          <cell r="CT213">
            <v>182</v>
          </cell>
          <cell r="CU213">
            <v>0</v>
          </cell>
          <cell r="CV213">
            <v>131</v>
          </cell>
          <cell r="CW213">
            <v>105</v>
          </cell>
          <cell r="CX213">
            <v>2</v>
          </cell>
          <cell r="CY213">
            <v>2</v>
          </cell>
          <cell r="CZ213">
            <v>38109</v>
          </cell>
          <cell r="DA213" t="str">
            <v>Демский</v>
          </cell>
          <cell r="DB213" t="str">
            <v>3.Сборные ж/б панели</v>
          </cell>
          <cell r="DC213">
            <v>38109</v>
          </cell>
          <cell r="DD213">
            <v>38109</v>
          </cell>
          <cell r="DE213">
            <v>38109</v>
          </cell>
          <cell r="DF213">
            <v>38109</v>
          </cell>
          <cell r="DG213">
            <v>38109</v>
          </cell>
          <cell r="DH213">
            <v>38109</v>
          </cell>
          <cell r="DI213">
            <v>38109</v>
          </cell>
          <cell r="DJ213" t="str">
            <v>АО УЖХ Демского района</v>
          </cell>
          <cell r="DK213">
            <v>38109</v>
          </cell>
          <cell r="DL213">
            <v>38109</v>
          </cell>
          <cell r="DM213">
            <v>2757967</v>
          </cell>
          <cell r="DN213">
            <v>2</v>
          </cell>
          <cell r="DO213" t="str">
            <v>ГВС</v>
          </cell>
          <cell r="DP213" t="str">
            <v>УЖХ</v>
          </cell>
          <cell r="DQ213">
            <v>40429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 t="str">
            <v>4. Независимая схема</v>
          </cell>
          <cell r="EE213" t="str">
            <v>Нижний</v>
          </cell>
          <cell r="EF213">
            <v>0</v>
          </cell>
          <cell r="EG213">
            <v>0</v>
          </cell>
          <cell r="EH213">
            <v>345</v>
          </cell>
          <cell r="EI213">
            <v>3518.7</v>
          </cell>
          <cell r="EJ213">
            <v>457</v>
          </cell>
          <cell r="EK213">
            <v>2922.3</v>
          </cell>
          <cell r="EL213">
            <v>170</v>
          </cell>
          <cell r="EM213">
            <v>170</v>
          </cell>
          <cell r="EN213">
            <v>2</v>
          </cell>
          <cell r="EO213">
            <v>2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  <cell r="EW213">
            <v>8.8000000000000007</v>
          </cell>
          <cell r="EX213">
            <v>1</v>
          </cell>
          <cell r="EY213">
            <v>1</v>
          </cell>
          <cell r="EZ213">
            <v>0</v>
          </cell>
          <cell r="FA213">
            <v>55</v>
          </cell>
          <cell r="FB213">
            <v>1</v>
          </cell>
          <cell r="FC213">
            <v>1</v>
          </cell>
          <cell r="FD213">
            <v>0</v>
          </cell>
          <cell r="FE213">
            <v>0</v>
          </cell>
          <cell r="FF213">
            <v>20</v>
          </cell>
          <cell r="FG213">
            <v>2</v>
          </cell>
          <cell r="FH213">
            <v>2</v>
          </cell>
          <cell r="FI213">
            <v>42933</v>
          </cell>
          <cell r="FJ213">
            <v>15477</v>
          </cell>
          <cell r="FK213">
            <v>15477</v>
          </cell>
          <cell r="FL213">
            <v>10655.4</v>
          </cell>
          <cell r="FM213">
            <v>78.92</v>
          </cell>
          <cell r="FN213">
            <v>4915.8200000000006</v>
          </cell>
          <cell r="FO213">
            <v>4915.8200000000006</v>
          </cell>
        </row>
        <row r="214">
          <cell r="AI214" t="str">
            <v>Ул. Мусы Джалиля дом 66</v>
          </cell>
          <cell r="AJ214">
            <v>4915.81640625</v>
          </cell>
          <cell r="AK214">
            <v>6768.1</v>
          </cell>
          <cell r="AL214">
            <v>4991.6000000000004</v>
          </cell>
          <cell r="AM214">
            <v>2</v>
          </cell>
          <cell r="AN214">
            <v>2</v>
          </cell>
          <cell r="AO214" t="str">
            <v>АО УЖХ Демского района</v>
          </cell>
          <cell r="AP214">
            <v>6509.4</v>
          </cell>
          <cell r="AQ214">
            <v>258.7</v>
          </cell>
          <cell r="AR214">
            <v>810.9</v>
          </cell>
          <cell r="AS214">
            <v>935</v>
          </cell>
          <cell r="AT214">
            <v>234</v>
          </cell>
          <cell r="AU214">
            <v>9</v>
          </cell>
          <cell r="AV214">
            <v>454</v>
          </cell>
          <cell r="AW214">
            <v>0</v>
          </cell>
          <cell r="AX214" t="str">
            <v>отказ от услуги</v>
          </cell>
          <cell r="AY214">
            <v>0</v>
          </cell>
          <cell r="AZ214">
            <v>3214.2</v>
          </cell>
          <cell r="BA214">
            <v>2781.2</v>
          </cell>
          <cell r="BB214">
            <v>2781.19921875</v>
          </cell>
          <cell r="BC214" t="str">
            <v>Управляющая компания</v>
          </cell>
          <cell r="BD214" t="str">
            <v>3.Общежитие</v>
          </cell>
          <cell r="BE214">
            <v>27.13</v>
          </cell>
          <cell r="BF214" t="str">
            <v>2.Чёрный</v>
          </cell>
          <cell r="BG214" t="str">
            <v>2.Чёрный</v>
          </cell>
          <cell r="BH214" t="str">
            <v>3.Водяной</v>
          </cell>
          <cell r="BI214" t="str">
            <v>МУП УИС</v>
          </cell>
          <cell r="BJ214" t="str">
            <v>2. ПВХ</v>
          </cell>
          <cell r="BK214">
            <v>2</v>
          </cell>
          <cell r="BL214" t="str">
            <v>2.Кирпич</v>
          </cell>
          <cell r="BM214">
            <v>31048</v>
          </cell>
          <cell r="BN214">
            <v>31048</v>
          </cell>
          <cell r="BO214" t="str">
            <v>Не оборудован</v>
          </cell>
          <cell r="BP214" t="str">
            <v>4.Мягк/рулонная</v>
          </cell>
          <cell r="BQ214" t="str">
            <v>2.Плоская</v>
          </cell>
          <cell r="BR214">
            <v>1566</v>
          </cell>
          <cell r="BS214">
            <v>1146.0999999999999</v>
          </cell>
          <cell r="BT214">
            <v>1146.099609375</v>
          </cell>
          <cell r="BU214">
            <v>1146.099609375</v>
          </cell>
          <cell r="BV214">
            <v>0</v>
          </cell>
          <cell r="BW214" t="str">
            <v>3.Частный жилищный фонд</v>
          </cell>
          <cell r="BX214">
            <v>0</v>
          </cell>
          <cell r="BY214">
            <v>234</v>
          </cell>
          <cell r="BZ214" t="str">
            <v>1-я</v>
          </cell>
          <cell r="CA214">
            <v>1</v>
          </cell>
          <cell r="CB214">
            <v>27.01</v>
          </cell>
          <cell r="CC214">
            <v>27.009994506835938</v>
          </cell>
          <cell r="CD214">
            <v>6736.5</v>
          </cell>
          <cell r="CE214">
            <v>6736.5</v>
          </cell>
          <cell r="CF214" t="str">
            <v>ООО "Дёма Комфорт"</v>
          </cell>
          <cell r="CG214">
            <v>223</v>
          </cell>
          <cell r="CH214">
            <v>11</v>
          </cell>
          <cell r="CI214" t="str">
            <v>Общежитие Блочный, секционный тип</v>
          </cell>
          <cell r="CJ214">
            <v>11</v>
          </cell>
          <cell r="CK214">
            <v>0</v>
          </cell>
          <cell r="CL214">
            <v>1</v>
          </cell>
          <cell r="CM214">
            <v>235</v>
          </cell>
          <cell r="CN214">
            <v>1745.9</v>
          </cell>
          <cell r="CO214">
            <v>1745.9</v>
          </cell>
          <cell r="CP214">
            <v>2892</v>
          </cell>
          <cell r="CQ214">
            <v>2892</v>
          </cell>
          <cell r="CR214">
            <v>2892</v>
          </cell>
          <cell r="CS214">
            <v>2</v>
          </cell>
          <cell r="CT214">
            <v>234</v>
          </cell>
          <cell r="CU214">
            <v>0</v>
          </cell>
          <cell r="CV214">
            <v>97</v>
          </cell>
          <cell r="CW214">
            <v>98</v>
          </cell>
          <cell r="CX214">
            <v>2</v>
          </cell>
          <cell r="CY214">
            <v>2</v>
          </cell>
          <cell r="CZ214">
            <v>39547</v>
          </cell>
          <cell r="DA214" t="str">
            <v>Демский</v>
          </cell>
          <cell r="DB214" t="str">
            <v>3.Сборные ж/б панели</v>
          </cell>
          <cell r="DC214">
            <v>39547</v>
          </cell>
          <cell r="DD214">
            <v>39547</v>
          </cell>
          <cell r="DE214">
            <v>39547</v>
          </cell>
          <cell r="DF214">
            <v>39547</v>
          </cell>
          <cell r="DG214">
            <v>39547</v>
          </cell>
          <cell r="DH214">
            <v>39547</v>
          </cell>
          <cell r="DI214">
            <v>39547</v>
          </cell>
          <cell r="DJ214" t="str">
            <v>АО УЖХ Демского района</v>
          </cell>
          <cell r="DK214">
            <v>39547</v>
          </cell>
          <cell r="DL214">
            <v>39547</v>
          </cell>
          <cell r="DM214">
            <v>35892173</v>
          </cell>
          <cell r="DN214">
            <v>2</v>
          </cell>
          <cell r="DO214" t="str">
            <v>ГВС</v>
          </cell>
          <cell r="DP214" t="str">
            <v>УЖХ</v>
          </cell>
          <cell r="DQ214">
            <v>39882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393.3</v>
          </cell>
          <cell r="DX214">
            <v>1223</v>
          </cell>
          <cell r="DY214">
            <v>1223</v>
          </cell>
          <cell r="DZ214">
            <v>2470.5</v>
          </cell>
          <cell r="EA214">
            <v>2470.5</v>
          </cell>
          <cell r="EB214">
            <v>0</v>
          </cell>
          <cell r="EC214">
            <v>0</v>
          </cell>
          <cell r="ED214" t="str">
            <v>4. Независимая схема</v>
          </cell>
          <cell r="EE214" t="str">
            <v>Нижний</v>
          </cell>
          <cell r="EF214">
            <v>0</v>
          </cell>
          <cell r="EG214">
            <v>0</v>
          </cell>
          <cell r="EH214">
            <v>0</v>
          </cell>
          <cell r="EI214">
            <v>2669.2</v>
          </cell>
          <cell r="EJ214">
            <v>26</v>
          </cell>
          <cell r="EK214">
            <v>1131.5</v>
          </cell>
          <cell r="EL214">
            <v>1913</v>
          </cell>
          <cell r="EM214">
            <v>131.19999999999999</v>
          </cell>
          <cell r="EN214">
            <v>4</v>
          </cell>
          <cell r="EO214">
            <v>4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112</v>
          </cell>
          <cell r="EV214">
            <v>1</v>
          </cell>
          <cell r="EW214">
            <v>12.5</v>
          </cell>
          <cell r="EX214">
            <v>1</v>
          </cell>
          <cell r="EY214">
            <v>1</v>
          </cell>
          <cell r="EZ214">
            <v>0</v>
          </cell>
          <cell r="FA214">
            <v>0</v>
          </cell>
          <cell r="FB214">
            <v>0</v>
          </cell>
          <cell r="FC214">
            <v>0</v>
          </cell>
          <cell r="FD214">
            <v>0</v>
          </cell>
          <cell r="FE214">
            <v>0</v>
          </cell>
          <cell r="FF214">
            <v>29.55</v>
          </cell>
          <cell r="FG214">
            <v>2</v>
          </cell>
          <cell r="FH214">
            <v>2</v>
          </cell>
          <cell r="FI214">
            <v>43739</v>
          </cell>
          <cell r="FJ214">
            <v>15477</v>
          </cell>
          <cell r="FK214">
            <v>15477</v>
          </cell>
          <cell r="FL214">
            <v>9660.1</v>
          </cell>
          <cell r="FM214">
            <v>78.92</v>
          </cell>
          <cell r="FN214">
            <v>6320.34</v>
          </cell>
          <cell r="FO214">
            <v>18961.02</v>
          </cell>
        </row>
        <row r="215">
          <cell r="AI215" t="str">
            <v>Ул. Мусы Джалиля дом 68/1</v>
          </cell>
          <cell r="AJ215">
            <v>18961.015625</v>
          </cell>
          <cell r="AK215">
            <v>6213.1</v>
          </cell>
          <cell r="AL215">
            <v>3473.8</v>
          </cell>
          <cell r="AM215">
            <v>3</v>
          </cell>
          <cell r="AN215">
            <v>3</v>
          </cell>
          <cell r="AO215" t="str">
            <v>АО УЖХ Демского района</v>
          </cell>
          <cell r="AP215">
            <v>5964.1</v>
          </cell>
          <cell r="AQ215">
            <v>242.3</v>
          </cell>
          <cell r="AR215">
            <v>836.8</v>
          </cell>
          <cell r="AS215">
            <v>99.3</v>
          </cell>
          <cell r="AT215">
            <v>108</v>
          </cell>
          <cell r="AU215">
            <v>9</v>
          </cell>
          <cell r="AV215">
            <v>274</v>
          </cell>
          <cell r="AW215">
            <v>0</v>
          </cell>
          <cell r="AX215" t="str">
            <v>отказ от услуги</v>
          </cell>
          <cell r="AY215">
            <v>205.4</v>
          </cell>
          <cell r="AZ215">
            <v>1845.3</v>
          </cell>
          <cell r="BA215">
            <v>4058.1</v>
          </cell>
          <cell r="BB215">
            <v>4058.099609375</v>
          </cell>
          <cell r="BC215" t="str">
            <v>Управляющая компания</v>
          </cell>
          <cell r="BD215" t="str">
            <v>1. Жилой дом</v>
          </cell>
          <cell r="BE215">
            <v>23</v>
          </cell>
          <cell r="BF215" t="str">
            <v>2.Чёрный</v>
          </cell>
          <cell r="BG215" t="str">
            <v>2.Чёрный</v>
          </cell>
          <cell r="BH215" t="str">
            <v>3.Водяной</v>
          </cell>
          <cell r="BI215" t="str">
            <v>МУП УИС</v>
          </cell>
          <cell r="BJ215" t="str">
            <v>1. Чугун</v>
          </cell>
          <cell r="BK215">
            <v>3</v>
          </cell>
          <cell r="BL215" t="str">
            <v>8.Сборные ж/б</v>
          </cell>
          <cell r="BM215">
            <v>34700</v>
          </cell>
          <cell r="BN215">
            <v>34700</v>
          </cell>
          <cell r="BO215" t="str">
            <v>Оборудован</v>
          </cell>
          <cell r="BP215" t="str">
            <v>4.Мягк/рулонная</v>
          </cell>
          <cell r="BQ215" t="str">
            <v>2.Плоская</v>
          </cell>
          <cell r="BR215">
            <v>1313</v>
          </cell>
          <cell r="BS215">
            <v>829.2</v>
          </cell>
          <cell r="BT215">
            <v>205.4</v>
          </cell>
          <cell r="BU215">
            <v>205.39990234375</v>
          </cell>
          <cell r="BV215">
            <v>0</v>
          </cell>
          <cell r="BW215" t="str">
            <v>3.Частный жилищный фонд</v>
          </cell>
          <cell r="BX215">
            <v>0</v>
          </cell>
          <cell r="BY215">
            <v>108</v>
          </cell>
          <cell r="BZ215" t="str">
            <v>2-я</v>
          </cell>
          <cell r="CA215">
            <v>1</v>
          </cell>
          <cell r="CB215">
            <v>27.01</v>
          </cell>
          <cell r="CC215">
            <v>27.009994506835938</v>
          </cell>
          <cell r="CD215">
            <v>6206.4</v>
          </cell>
          <cell r="CE215">
            <v>6206.3984375</v>
          </cell>
          <cell r="CF215" t="str">
            <v>ООО "Дёма Комфорт"</v>
          </cell>
          <cell r="CG215">
            <v>104</v>
          </cell>
          <cell r="CH215">
            <v>4</v>
          </cell>
          <cell r="CI215">
            <v>4</v>
          </cell>
          <cell r="CJ215">
            <v>4</v>
          </cell>
          <cell r="CK215">
            <v>0</v>
          </cell>
          <cell r="CL215">
            <v>1</v>
          </cell>
          <cell r="CM215">
            <v>108</v>
          </cell>
          <cell r="CN215">
            <v>936.1</v>
          </cell>
          <cell r="CO215">
            <v>936.1</v>
          </cell>
          <cell r="CP215">
            <v>1559.9</v>
          </cell>
          <cell r="CQ215">
            <v>1559.8994140625</v>
          </cell>
          <cell r="CR215">
            <v>1559.8994140625</v>
          </cell>
          <cell r="CS215">
            <v>3</v>
          </cell>
          <cell r="CT215">
            <v>108</v>
          </cell>
          <cell r="CU215">
            <v>0</v>
          </cell>
          <cell r="CV215">
            <v>95</v>
          </cell>
          <cell r="CW215">
            <v>99</v>
          </cell>
          <cell r="CX215">
            <v>3</v>
          </cell>
          <cell r="CY215">
            <v>3</v>
          </cell>
          <cell r="CZ215">
            <v>25503</v>
          </cell>
          <cell r="DA215" t="str">
            <v>Демский</v>
          </cell>
          <cell r="DB215" t="str">
            <v>3.Сборные ж/б панели</v>
          </cell>
          <cell r="DC215">
            <v>25503</v>
          </cell>
          <cell r="DD215">
            <v>25503</v>
          </cell>
          <cell r="DE215">
            <v>25503</v>
          </cell>
          <cell r="DF215">
            <v>25503</v>
          </cell>
          <cell r="DG215">
            <v>25503</v>
          </cell>
          <cell r="DH215">
            <v>25503</v>
          </cell>
          <cell r="DI215">
            <v>25503</v>
          </cell>
          <cell r="DJ215" t="str">
            <v>АО УЖХ Демского района</v>
          </cell>
          <cell r="DK215">
            <v>25503</v>
          </cell>
          <cell r="DL215">
            <v>25503</v>
          </cell>
          <cell r="DM215">
            <v>15366321</v>
          </cell>
          <cell r="DN215">
            <v>3</v>
          </cell>
          <cell r="DO215" t="str">
            <v>ГВС</v>
          </cell>
          <cell r="DP215" t="str">
            <v>УЖХ</v>
          </cell>
          <cell r="DQ215">
            <v>40463</v>
          </cell>
          <cell r="DR215">
            <v>0</v>
          </cell>
          <cell r="DS215">
            <v>108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 t="str">
            <v>4. Независимая схема</v>
          </cell>
          <cell r="EE215" t="str">
            <v>Нижний</v>
          </cell>
          <cell r="EF215">
            <v>0</v>
          </cell>
          <cell r="EG215">
            <v>0</v>
          </cell>
          <cell r="EH215">
            <v>1680</v>
          </cell>
          <cell r="EI215">
            <v>1966.1</v>
          </cell>
          <cell r="EJ215">
            <v>142.80000000000001</v>
          </cell>
          <cell r="EK215">
            <v>1288</v>
          </cell>
          <cell r="EL215">
            <v>111</v>
          </cell>
          <cell r="EM215">
            <v>291.5</v>
          </cell>
          <cell r="EN215">
            <v>1</v>
          </cell>
          <cell r="EO215">
            <v>1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412</v>
          </cell>
          <cell r="EV215">
            <v>1</v>
          </cell>
          <cell r="EW215">
            <v>12</v>
          </cell>
          <cell r="EX215">
            <v>1</v>
          </cell>
          <cell r="EY215">
            <v>1</v>
          </cell>
          <cell r="EZ215">
            <v>0</v>
          </cell>
          <cell r="FA215">
            <v>0</v>
          </cell>
          <cell r="FB215">
            <v>0</v>
          </cell>
          <cell r="FC215">
            <v>0</v>
          </cell>
          <cell r="FD215">
            <v>0</v>
          </cell>
          <cell r="FE215">
            <v>0</v>
          </cell>
          <cell r="FF215">
            <v>19.23</v>
          </cell>
          <cell r="FG215">
            <v>2</v>
          </cell>
          <cell r="FH215">
            <v>2</v>
          </cell>
          <cell r="FI215">
            <v>43709</v>
          </cell>
          <cell r="FJ215">
            <v>15477</v>
          </cell>
          <cell r="FK215">
            <v>15477</v>
          </cell>
          <cell r="FL215">
            <v>7978.4</v>
          </cell>
          <cell r="FM215">
            <v>78.92</v>
          </cell>
          <cell r="FN215">
            <v>2917.0800000000004</v>
          </cell>
          <cell r="FO215">
            <v>2917.0800000000004</v>
          </cell>
        </row>
        <row r="216">
          <cell r="AI216" t="str">
            <v>Дострой к дому по Ул. Мусы Джалиля дом 74</v>
          </cell>
          <cell r="AJ216" t="str">
            <v>1,5 п.</v>
          </cell>
          <cell r="AK216">
            <v>7556.2</v>
          </cell>
          <cell r="AL216">
            <v>3910.6</v>
          </cell>
          <cell r="AM216">
            <v>2</v>
          </cell>
          <cell r="AN216">
            <v>2</v>
          </cell>
          <cell r="AO216" t="str">
            <v>АО УЖХ Демского района</v>
          </cell>
          <cell r="AP216">
            <v>7191.56</v>
          </cell>
          <cell r="AQ216">
            <v>364.64</v>
          </cell>
          <cell r="AR216">
            <v>338.5</v>
          </cell>
          <cell r="AS216">
            <v>1496</v>
          </cell>
          <cell r="AT216">
            <v>154</v>
          </cell>
          <cell r="AU216">
            <v>12</v>
          </cell>
          <cell r="AV216">
            <v>342</v>
          </cell>
          <cell r="AW216">
            <v>342</v>
          </cell>
          <cell r="AX216" t="str">
            <v>отказ от услуги</v>
          </cell>
          <cell r="AY216">
            <v>342</v>
          </cell>
          <cell r="AZ216">
            <v>0</v>
          </cell>
          <cell r="BA216">
            <v>0</v>
          </cell>
          <cell r="BB216">
            <v>0</v>
          </cell>
          <cell r="BC216" t="str">
            <v>Управляющая компания</v>
          </cell>
          <cell r="BD216" t="str">
            <v>1. Жилой дом</v>
          </cell>
          <cell r="BE216">
            <v>12.42</v>
          </cell>
          <cell r="BF216" t="str">
            <v>1.Оцинкованный</v>
          </cell>
          <cell r="BG216" t="str">
            <v>1.Оцинкованный</v>
          </cell>
          <cell r="BH216" t="str">
            <v>3.Водяной</v>
          </cell>
          <cell r="BI216" t="str">
            <v>МУП УИС</v>
          </cell>
          <cell r="BJ216" t="str">
            <v>2. ПВХ</v>
          </cell>
          <cell r="BK216">
            <v>4</v>
          </cell>
          <cell r="BL216" t="str">
            <v>13.Сборные ж/б+кирпич</v>
          </cell>
          <cell r="BM216">
            <v>38718</v>
          </cell>
          <cell r="BN216">
            <v>38718</v>
          </cell>
          <cell r="BO216" t="str">
            <v>Оборудован</v>
          </cell>
          <cell r="BP216" t="str">
            <v>4.Мягк/рулонная</v>
          </cell>
          <cell r="BQ216" t="str">
            <v>2.Плоская</v>
          </cell>
          <cell r="BR216">
            <v>950</v>
          </cell>
          <cell r="BS216">
            <v>0</v>
          </cell>
          <cell r="BT216">
            <v>0</v>
          </cell>
          <cell r="BU216">
            <v>129.30000000000001</v>
          </cell>
          <cell r="BV216">
            <v>129.30000000000001</v>
          </cell>
          <cell r="BW216" t="str">
            <v>3.Частный жилищный фонд</v>
          </cell>
          <cell r="BX216">
            <v>129.2999267578125</v>
          </cell>
          <cell r="BY216">
            <v>154</v>
          </cell>
          <cell r="BZ216" t="str">
            <v>1-я</v>
          </cell>
          <cell r="CA216">
            <v>1</v>
          </cell>
          <cell r="CB216">
            <v>27.01</v>
          </cell>
          <cell r="CC216">
            <v>27.009994506835938</v>
          </cell>
          <cell r="CD216">
            <v>7556.2</v>
          </cell>
          <cell r="CE216">
            <v>7556.19921875</v>
          </cell>
          <cell r="CF216" t="str">
            <v>ООО "Дёма Комфорт"</v>
          </cell>
          <cell r="CG216">
            <v>148</v>
          </cell>
          <cell r="CH216">
            <v>6</v>
          </cell>
          <cell r="CI216">
            <v>6</v>
          </cell>
          <cell r="CJ216" t="str">
            <v>имеется, работает</v>
          </cell>
          <cell r="CK216">
            <v>0</v>
          </cell>
          <cell r="CL216">
            <v>0.5</v>
          </cell>
          <cell r="CM216">
            <v>157</v>
          </cell>
          <cell r="CN216">
            <v>1834.5</v>
          </cell>
          <cell r="CO216">
            <v>1834.5</v>
          </cell>
          <cell r="CP216">
            <v>1963.8</v>
          </cell>
          <cell r="CQ216">
            <v>1963.7998046875</v>
          </cell>
          <cell r="CR216">
            <v>1963.7998046875</v>
          </cell>
          <cell r="CS216">
            <v>1963.7998046875</v>
          </cell>
          <cell r="CT216">
            <v>154</v>
          </cell>
          <cell r="CU216">
            <v>0</v>
          </cell>
          <cell r="CV216">
            <v>137</v>
          </cell>
          <cell r="CW216">
            <v>139</v>
          </cell>
          <cell r="CX216">
            <v>0</v>
          </cell>
          <cell r="CY216">
            <v>0</v>
          </cell>
          <cell r="CZ216">
            <v>36155</v>
          </cell>
          <cell r="DA216" t="str">
            <v>Демский</v>
          </cell>
          <cell r="DB216" t="str">
            <v>3.Сборные ж/б панели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 t="str">
            <v>АО УЖХ Демского района</v>
          </cell>
          <cell r="DK216">
            <v>0</v>
          </cell>
          <cell r="DL216">
            <v>0</v>
          </cell>
          <cell r="DM216">
            <v>14943794</v>
          </cell>
          <cell r="DN216">
            <v>2</v>
          </cell>
          <cell r="DO216">
            <v>2</v>
          </cell>
          <cell r="DP216" t="str">
            <v>УЖХ</v>
          </cell>
          <cell r="DQ216">
            <v>40436</v>
          </cell>
          <cell r="DR216">
            <v>0</v>
          </cell>
          <cell r="DS216">
            <v>0</v>
          </cell>
          <cell r="DT216">
            <v>154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0</v>
          </cell>
          <cell r="EC216">
            <v>0</v>
          </cell>
          <cell r="ED216" t="str">
            <v>4. Независимая схема</v>
          </cell>
          <cell r="EE216">
            <v>0</v>
          </cell>
          <cell r="EF216">
            <v>0</v>
          </cell>
          <cell r="EG216">
            <v>0</v>
          </cell>
          <cell r="EH216">
            <v>0</v>
          </cell>
          <cell r="EI216">
            <v>0</v>
          </cell>
          <cell r="EJ216">
            <v>0</v>
          </cell>
          <cell r="EK216">
            <v>0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0</v>
          </cell>
          <cell r="ET216">
            <v>0</v>
          </cell>
          <cell r="EU216">
            <v>0</v>
          </cell>
          <cell r="EV216">
            <v>0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  <cell r="FA216">
            <v>0</v>
          </cell>
          <cell r="FB216">
            <v>0</v>
          </cell>
          <cell r="FC216">
            <v>0</v>
          </cell>
          <cell r="FD216">
            <v>0</v>
          </cell>
          <cell r="FE216">
            <v>0</v>
          </cell>
          <cell r="FF216">
            <v>21.59</v>
          </cell>
          <cell r="FG216">
            <v>21.589996337890625</v>
          </cell>
          <cell r="FH216">
            <v>21.589996337890625</v>
          </cell>
          <cell r="FI216">
            <v>44682</v>
          </cell>
          <cell r="FJ216">
            <v>15477</v>
          </cell>
          <cell r="FK216">
            <v>15477</v>
          </cell>
          <cell r="FL216">
            <v>9390.7000000000007</v>
          </cell>
          <cell r="FM216">
            <v>78.92</v>
          </cell>
          <cell r="FN216">
            <v>4159.54</v>
          </cell>
          <cell r="FO216">
            <v>12478.619999999999</v>
          </cell>
        </row>
        <row r="217">
          <cell r="AI217" t="str">
            <v>Ул. Ухтомского дом 5</v>
          </cell>
          <cell r="AJ217">
            <v>12478.6171875</v>
          </cell>
          <cell r="AK217">
            <v>558.9</v>
          </cell>
          <cell r="AL217">
            <v>360.9</v>
          </cell>
          <cell r="AM217">
            <v>2</v>
          </cell>
          <cell r="AN217">
            <v>2</v>
          </cell>
          <cell r="AO217" t="str">
            <v>АО УЖХ Демского района</v>
          </cell>
          <cell r="AP217">
            <v>558.9</v>
          </cell>
          <cell r="AQ217">
            <v>0</v>
          </cell>
          <cell r="AR217">
            <v>44.2</v>
          </cell>
          <cell r="AS217">
            <v>3.6</v>
          </cell>
          <cell r="AT217">
            <v>14</v>
          </cell>
          <cell r="AU217">
            <v>2</v>
          </cell>
          <cell r="AV217">
            <v>29</v>
          </cell>
          <cell r="AW217">
            <v>0</v>
          </cell>
          <cell r="AX217">
            <v>0</v>
          </cell>
          <cell r="AY217">
            <v>85.4</v>
          </cell>
          <cell r="AZ217">
            <v>1426</v>
          </cell>
          <cell r="BA217">
            <v>1001.4</v>
          </cell>
          <cell r="BB217">
            <v>1001.39990234375</v>
          </cell>
          <cell r="BC217" t="str">
            <v>Непосредственное</v>
          </cell>
          <cell r="BD217" t="str">
            <v>1. Жилой дом</v>
          </cell>
          <cell r="BE217">
            <v>50.2</v>
          </cell>
          <cell r="BF217" t="str">
            <v>1.Оцинкованный</v>
          </cell>
          <cell r="BG217">
            <v>50.199981689453125</v>
          </cell>
          <cell r="BH217" t="str">
            <v>3.Водяной</v>
          </cell>
          <cell r="BI217" t="str">
            <v>МУП УИС</v>
          </cell>
          <cell r="BJ217" t="str">
            <v>1. Чугун</v>
          </cell>
          <cell r="BK217">
            <v>50.199981689453125</v>
          </cell>
          <cell r="BL217" t="str">
            <v>2.Кирпич</v>
          </cell>
          <cell r="BM217">
            <v>22282</v>
          </cell>
          <cell r="BN217">
            <v>14</v>
          </cell>
          <cell r="BO217" t="str">
            <v>Оборудован</v>
          </cell>
          <cell r="BP217" t="str">
            <v>1.Абсоцемент(шифер)</v>
          </cell>
          <cell r="BQ217" t="str">
            <v>1.Скатная</v>
          </cell>
          <cell r="BR217">
            <v>579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 t="str">
            <v>3.Частный жилищный фонд</v>
          </cell>
          <cell r="BX217">
            <v>14</v>
          </cell>
          <cell r="BY217">
            <v>0</v>
          </cell>
          <cell r="BZ217" t="str">
            <v>2-я</v>
          </cell>
          <cell r="CA217">
            <v>1</v>
          </cell>
          <cell r="CB217">
            <v>27.01</v>
          </cell>
          <cell r="CC217">
            <v>1</v>
          </cell>
          <cell r="CD217">
            <v>1</v>
          </cell>
          <cell r="CE217">
            <v>1</v>
          </cell>
          <cell r="CF217" t="str">
            <v>ООО "Гранд"</v>
          </cell>
          <cell r="CG217">
            <v>14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14</v>
          </cell>
          <cell r="CN217">
            <v>47.8</v>
          </cell>
          <cell r="CO217">
            <v>0</v>
          </cell>
          <cell r="CP217">
            <v>47.8</v>
          </cell>
          <cell r="CQ217">
            <v>47.79998779296875</v>
          </cell>
          <cell r="CR217">
            <v>47.79998779296875</v>
          </cell>
          <cell r="CS217">
            <v>0</v>
          </cell>
          <cell r="CT217">
            <v>16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2562</v>
          </cell>
          <cell r="DA217" t="str">
            <v>Демский</v>
          </cell>
          <cell r="DB217" t="str">
            <v>2.Деревянные</v>
          </cell>
          <cell r="DC217">
            <v>2562</v>
          </cell>
          <cell r="DD217">
            <v>2562</v>
          </cell>
          <cell r="DE217">
            <v>2562</v>
          </cell>
          <cell r="DF217">
            <v>2562</v>
          </cell>
          <cell r="DG217">
            <v>2562</v>
          </cell>
          <cell r="DH217">
            <v>2562</v>
          </cell>
          <cell r="DI217">
            <v>2562</v>
          </cell>
          <cell r="DJ217">
            <v>2562</v>
          </cell>
          <cell r="DK217">
            <v>0</v>
          </cell>
          <cell r="DL217">
            <v>0</v>
          </cell>
          <cell r="DM217">
            <v>953219</v>
          </cell>
          <cell r="DN217">
            <v>0</v>
          </cell>
          <cell r="DO217">
            <v>0</v>
          </cell>
          <cell r="DP217" t="str">
            <v>УЖХ</v>
          </cell>
          <cell r="DQ217">
            <v>27432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 t="str">
            <v>3.Зависимая схема</v>
          </cell>
          <cell r="EE217" t="str">
            <v>Верхний</v>
          </cell>
          <cell r="EF217">
            <v>0</v>
          </cell>
          <cell r="EG217">
            <v>0</v>
          </cell>
          <cell r="EH217">
            <v>20</v>
          </cell>
          <cell r="EI217">
            <v>981.4</v>
          </cell>
          <cell r="EJ217">
            <v>157.80000000000001</v>
          </cell>
          <cell r="EK217">
            <v>1154.2</v>
          </cell>
          <cell r="EL217">
            <v>20</v>
          </cell>
          <cell r="EM217">
            <v>49</v>
          </cell>
          <cell r="EN217">
            <v>2</v>
          </cell>
          <cell r="EO217">
            <v>2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15</v>
          </cell>
          <cell r="EX217">
            <v>1</v>
          </cell>
          <cell r="EY217">
            <v>1</v>
          </cell>
          <cell r="EZ217">
            <v>0</v>
          </cell>
          <cell r="FA217">
            <v>30</v>
          </cell>
          <cell r="FB217">
            <v>1</v>
          </cell>
          <cell r="FC217">
            <v>1</v>
          </cell>
          <cell r="FD217">
            <v>0</v>
          </cell>
          <cell r="FE217">
            <v>0</v>
          </cell>
          <cell r="FF217">
            <v>19.850000000000001</v>
          </cell>
          <cell r="FG217">
            <v>19.849990844726563</v>
          </cell>
          <cell r="FH217" t="str">
            <v>С УЛК (ЖЭУ)</v>
          </cell>
          <cell r="FI217">
            <v>43647</v>
          </cell>
          <cell r="FJ217">
            <v>15477</v>
          </cell>
          <cell r="FK217">
            <v>15477</v>
          </cell>
          <cell r="FL217">
            <v>692.1</v>
          </cell>
          <cell r="FM217">
            <v>78.92</v>
          </cell>
          <cell r="FN217">
            <v>1483.0200000000002</v>
          </cell>
          <cell r="FO217">
            <v>4449.0600000000004</v>
          </cell>
        </row>
        <row r="218">
          <cell r="AI218" t="str">
            <v>Ул. Ухтомского дом 10</v>
          </cell>
          <cell r="AJ218">
            <v>4449.05859375</v>
          </cell>
          <cell r="AK218">
            <v>4904.1000000000004</v>
          </cell>
          <cell r="AL218">
            <v>2907</v>
          </cell>
          <cell r="AM218">
            <v>1</v>
          </cell>
          <cell r="AN218">
            <v>1</v>
          </cell>
          <cell r="AO218" t="str">
            <v>АО УЖХ Демского района</v>
          </cell>
          <cell r="AP218">
            <v>4904</v>
          </cell>
          <cell r="AQ218">
            <v>0</v>
          </cell>
          <cell r="AR218">
            <v>204.2</v>
          </cell>
          <cell r="AS218">
            <v>647.29999999999995</v>
          </cell>
          <cell r="AT218">
            <v>100</v>
          </cell>
          <cell r="AU218">
            <v>14</v>
          </cell>
          <cell r="AV218">
            <v>206</v>
          </cell>
          <cell r="AW218">
            <v>0</v>
          </cell>
          <cell r="AX218" t="str">
            <v>отказ от услуги</v>
          </cell>
          <cell r="AY218">
            <v>1892.3</v>
          </cell>
          <cell r="AZ218">
            <v>1723.5</v>
          </cell>
          <cell r="BA218">
            <v>409.2</v>
          </cell>
          <cell r="BB218">
            <v>409.199951171875</v>
          </cell>
          <cell r="BC218" t="str">
            <v>Управляющая компания</v>
          </cell>
          <cell r="BD218" t="str">
            <v>1. Жилой дом</v>
          </cell>
          <cell r="BE218">
            <v>27.8</v>
          </cell>
          <cell r="BF218" t="str">
            <v>2.Чёрный</v>
          </cell>
          <cell r="BG218" t="str">
            <v>2.Чёрный</v>
          </cell>
          <cell r="BH218" t="str">
            <v>3.Водяной</v>
          </cell>
          <cell r="BI218" t="str">
            <v>МУП УИС</v>
          </cell>
          <cell r="BJ218" t="str">
            <v>1. Чугун</v>
          </cell>
          <cell r="BK218">
            <v>2</v>
          </cell>
          <cell r="BL218" t="str">
            <v>8.Сборные ж/б</v>
          </cell>
          <cell r="BM218">
            <v>32509</v>
          </cell>
          <cell r="BN218">
            <v>32509</v>
          </cell>
          <cell r="BO218" t="str">
            <v>Оборудован</v>
          </cell>
          <cell r="BP218" t="str">
            <v>4.Мягк/рулонная</v>
          </cell>
          <cell r="BQ218" t="str">
            <v>2.Плоская</v>
          </cell>
          <cell r="BR218">
            <v>1768.6</v>
          </cell>
          <cell r="BS218">
            <v>2017</v>
          </cell>
          <cell r="BT218">
            <v>742.3</v>
          </cell>
          <cell r="BU218">
            <v>742.2998046875</v>
          </cell>
          <cell r="BV218">
            <v>0</v>
          </cell>
          <cell r="BW218" t="str">
            <v>3.Частный жилищный фонд</v>
          </cell>
          <cell r="BX218">
            <v>0</v>
          </cell>
          <cell r="BY218">
            <v>100</v>
          </cell>
          <cell r="BZ218" t="str">
            <v>2-я</v>
          </cell>
          <cell r="CA218">
            <v>1</v>
          </cell>
          <cell r="CB218">
            <v>27.01</v>
          </cell>
          <cell r="CC218">
            <v>27.009994506835938</v>
          </cell>
          <cell r="CD218">
            <v>4904</v>
          </cell>
          <cell r="CE218">
            <v>4904</v>
          </cell>
          <cell r="CF218" t="str">
            <v>ООО "Дёма Комфорт"</v>
          </cell>
          <cell r="CG218">
            <v>100</v>
          </cell>
          <cell r="CH218">
            <v>0</v>
          </cell>
          <cell r="CI218">
            <v>0</v>
          </cell>
          <cell r="CJ218" t="str">
            <v>имеется, работает</v>
          </cell>
          <cell r="CK218">
            <v>0</v>
          </cell>
          <cell r="CL218">
            <v>1</v>
          </cell>
          <cell r="CM218">
            <v>100</v>
          </cell>
          <cell r="CN218">
            <v>851.5</v>
          </cell>
          <cell r="CO218">
            <v>851.5</v>
          </cell>
          <cell r="CP218">
            <v>2126.1999999999998</v>
          </cell>
          <cell r="CQ218">
            <v>2126.19921875</v>
          </cell>
          <cell r="CR218">
            <v>2126.19921875</v>
          </cell>
          <cell r="CS218">
            <v>1</v>
          </cell>
          <cell r="CT218">
            <v>100</v>
          </cell>
          <cell r="CU218">
            <v>0</v>
          </cell>
          <cell r="CV218">
            <v>81</v>
          </cell>
          <cell r="CW218">
            <v>83</v>
          </cell>
          <cell r="CX218">
            <v>1</v>
          </cell>
          <cell r="CY218">
            <v>1</v>
          </cell>
          <cell r="CZ218">
            <v>29440</v>
          </cell>
          <cell r="DA218" t="str">
            <v>Демский</v>
          </cell>
          <cell r="DB218" t="str">
            <v>3.Сборные ж/б панели</v>
          </cell>
          <cell r="DC218">
            <v>29440</v>
          </cell>
          <cell r="DD218">
            <v>29440</v>
          </cell>
          <cell r="DE218">
            <v>29440</v>
          </cell>
          <cell r="DF218">
            <v>29440</v>
          </cell>
          <cell r="DG218">
            <v>29440</v>
          </cell>
          <cell r="DH218">
            <v>29440</v>
          </cell>
          <cell r="DI218">
            <v>29440</v>
          </cell>
          <cell r="DJ218" t="str">
            <v>АО УЖХ Демского района</v>
          </cell>
          <cell r="DK218">
            <v>29440</v>
          </cell>
          <cell r="DL218">
            <v>29440</v>
          </cell>
          <cell r="DM218">
            <v>13848828</v>
          </cell>
          <cell r="DN218">
            <v>1</v>
          </cell>
          <cell r="DO218" t="str">
            <v>ГВС</v>
          </cell>
          <cell r="DP218" t="str">
            <v>УЖХ</v>
          </cell>
          <cell r="DQ218">
            <v>40451</v>
          </cell>
          <cell r="DR218">
            <v>0</v>
          </cell>
          <cell r="DS218">
            <v>0</v>
          </cell>
          <cell r="DT218">
            <v>100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 t="str">
            <v>4. Независимая схема</v>
          </cell>
          <cell r="EE218" t="str">
            <v>Верхний</v>
          </cell>
          <cell r="EF218">
            <v>0</v>
          </cell>
          <cell r="EG218">
            <v>0</v>
          </cell>
          <cell r="EH218">
            <v>0</v>
          </cell>
          <cell r="EI218">
            <v>409.2</v>
          </cell>
          <cell r="EJ218">
            <v>1508.8</v>
          </cell>
          <cell r="EK218">
            <v>42.2</v>
          </cell>
          <cell r="EL218">
            <v>61.5</v>
          </cell>
          <cell r="EM218">
            <v>61.5</v>
          </cell>
          <cell r="EN218">
            <v>7</v>
          </cell>
          <cell r="EO218">
            <v>7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19</v>
          </cell>
          <cell r="EX218">
            <v>1</v>
          </cell>
          <cell r="EY218">
            <v>1</v>
          </cell>
          <cell r="EZ218">
            <v>0</v>
          </cell>
          <cell r="FA218">
            <v>105</v>
          </cell>
          <cell r="FB218">
            <v>1</v>
          </cell>
          <cell r="FC218">
            <v>1</v>
          </cell>
          <cell r="FD218">
            <v>0</v>
          </cell>
          <cell r="FE218">
            <v>0</v>
          </cell>
          <cell r="FF218">
            <v>18.88</v>
          </cell>
          <cell r="FG218">
            <v>2</v>
          </cell>
          <cell r="FH218">
            <v>2</v>
          </cell>
          <cell r="FI218">
            <v>43466</v>
          </cell>
          <cell r="FJ218">
            <v>15477</v>
          </cell>
          <cell r="FK218">
            <v>15477</v>
          </cell>
          <cell r="FL218">
            <v>9494.6</v>
          </cell>
          <cell r="FM218">
            <v>78.92</v>
          </cell>
          <cell r="FN218">
            <v>2701</v>
          </cell>
          <cell r="FO218">
            <v>2701</v>
          </cell>
        </row>
        <row r="219">
          <cell r="AI219" t="str">
            <v>Ул. Ухтомского дом 11</v>
          </cell>
          <cell r="AJ219">
            <v>2701</v>
          </cell>
          <cell r="AK219">
            <v>5120.5</v>
          </cell>
          <cell r="AL219">
            <v>3401.1</v>
          </cell>
          <cell r="AM219">
            <v>8</v>
          </cell>
          <cell r="AN219">
            <v>8</v>
          </cell>
          <cell r="AO219" t="str">
            <v>АО УЖХ Демского района</v>
          </cell>
          <cell r="AP219">
            <v>4823.6000000000004</v>
          </cell>
          <cell r="AQ219">
            <v>296.89999999999998</v>
          </cell>
          <cell r="AR219">
            <v>478.5</v>
          </cell>
          <cell r="AS219">
            <v>29.5</v>
          </cell>
          <cell r="AT219">
            <v>112</v>
          </cell>
          <cell r="AU219">
            <v>5</v>
          </cell>
          <cell r="AV219">
            <v>255</v>
          </cell>
          <cell r="AW219">
            <v>0</v>
          </cell>
          <cell r="AX219">
            <v>0</v>
          </cell>
          <cell r="AY219">
            <v>1415.4</v>
          </cell>
          <cell r="AZ219">
            <v>3990</v>
          </cell>
          <cell r="BA219">
            <v>2718</v>
          </cell>
          <cell r="BB219">
            <v>2718</v>
          </cell>
          <cell r="BC219" t="str">
            <v>Управляющая компания</v>
          </cell>
          <cell r="BD219" t="str">
            <v>1. Жилой дом</v>
          </cell>
          <cell r="BE219">
            <v>39.799999999999997</v>
          </cell>
          <cell r="BF219" t="str">
            <v>2.Чёрный</v>
          </cell>
          <cell r="BG219" t="str">
            <v>1.Оцинкованный</v>
          </cell>
          <cell r="BH219" t="str">
            <v>3.Водяной</v>
          </cell>
          <cell r="BI219" t="str">
            <v>МУП УИС</v>
          </cell>
          <cell r="BJ219" t="str">
            <v>1. Чугун</v>
          </cell>
          <cell r="BK219">
            <v>39.79998779296875</v>
          </cell>
          <cell r="BL219" t="str">
            <v>2.Кирпич</v>
          </cell>
          <cell r="BM219">
            <v>27030</v>
          </cell>
          <cell r="BN219">
            <v>27030</v>
          </cell>
          <cell r="BO219" t="str">
            <v>Оборудован</v>
          </cell>
          <cell r="BP219" t="str">
            <v>4.Мягк/рулонная</v>
          </cell>
          <cell r="BQ219" t="str">
            <v>2.Плоская</v>
          </cell>
          <cell r="BR219">
            <v>2303</v>
          </cell>
          <cell r="BS219">
            <v>2298</v>
          </cell>
          <cell r="BT219">
            <v>2298</v>
          </cell>
          <cell r="BU219">
            <v>2298</v>
          </cell>
          <cell r="BV219">
            <v>0</v>
          </cell>
          <cell r="BW219" t="str">
            <v>3.Частный жилищный фонд</v>
          </cell>
          <cell r="BX219">
            <v>112</v>
          </cell>
          <cell r="BY219">
            <v>0</v>
          </cell>
          <cell r="BZ219" t="str">
            <v>2-я</v>
          </cell>
          <cell r="CA219">
            <v>1</v>
          </cell>
          <cell r="CB219">
            <v>27.01</v>
          </cell>
          <cell r="CC219">
            <v>27.009994506835938</v>
          </cell>
          <cell r="CD219">
            <v>5120.5</v>
          </cell>
          <cell r="CE219">
            <v>5120.5</v>
          </cell>
          <cell r="CF219" t="str">
            <v>ООО "Дёма Комфорт"</v>
          </cell>
          <cell r="CG219">
            <v>106</v>
          </cell>
          <cell r="CH219">
            <v>6</v>
          </cell>
          <cell r="CI219">
            <v>6</v>
          </cell>
          <cell r="CJ219">
            <v>6</v>
          </cell>
          <cell r="CK219">
            <v>0</v>
          </cell>
          <cell r="CL219">
            <v>1</v>
          </cell>
          <cell r="CM219">
            <v>113</v>
          </cell>
          <cell r="CN219">
            <v>508</v>
          </cell>
          <cell r="CO219">
            <v>508</v>
          </cell>
          <cell r="CP219">
            <v>2806</v>
          </cell>
          <cell r="CQ219">
            <v>2806</v>
          </cell>
          <cell r="CR219">
            <v>2806</v>
          </cell>
          <cell r="CS219">
            <v>2</v>
          </cell>
          <cell r="CT219">
            <v>112</v>
          </cell>
          <cell r="CU219">
            <v>0</v>
          </cell>
          <cell r="CV219">
            <v>104</v>
          </cell>
          <cell r="CW219">
            <v>92</v>
          </cell>
          <cell r="CX219">
            <v>2</v>
          </cell>
          <cell r="CY219">
            <v>2</v>
          </cell>
          <cell r="CZ219">
            <v>30454</v>
          </cell>
          <cell r="DA219" t="str">
            <v>Демский</v>
          </cell>
          <cell r="DB219" t="str">
            <v>3.Сборные ж/б панели</v>
          </cell>
          <cell r="DC219">
            <v>30454</v>
          </cell>
          <cell r="DD219">
            <v>30454</v>
          </cell>
          <cell r="DE219">
            <v>30454</v>
          </cell>
          <cell r="DF219">
            <v>30454</v>
          </cell>
          <cell r="DG219">
            <v>30454</v>
          </cell>
          <cell r="DH219">
            <v>30454</v>
          </cell>
          <cell r="DI219">
            <v>30454</v>
          </cell>
          <cell r="DJ219">
            <v>30454</v>
          </cell>
          <cell r="DK219">
            <v>30454</v>
          </cell>
          <cell r="DL219">
            <v>30454</v>
          </cell>
          <cell r="DM219">
            <v>12809760</v>
          </cell>
          <cell r="DN219">
            <v>5</v>
          </cell>
          <cell r="DO219" t="str">
            <v>Отопление</v>
          </cell>
          <cell r="DP219" t="str">
            <v>УЖХ</v>
          </cell>
          <cell r="DQ219">
            <v>35601</v>
          </cell>
          <cell r="DR219">
            <v>0</v>
          </cell>
          <cell r="DS219">
            <v>112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 t="str">
            <v>3.Зависимая схема</v>
          </cell>
          <cell r="EE219" t="str">
            <v>Нижний</v>
          </cell>
          <cell r="EF219">
            <v>0</v>
          </cell>
          <cell r="EG219">
            <v>0</v>
          </cell>
          <cell r="EH219">
            <v>0</v>
          </cell>
          <cell r="EI219">
            <v>2718</v>
          </cell>
          <cell r="EJ219">
            <v>1646</v>
          </cell>
          <cell r="EK219">
            <v>1246</v>
          </cell>
          <cell r="EL219">
            <v>381</v>
          </cell>
          <cell r="EM219">
            <v>565</v>
          </cell>
          <cell r="EN219">
            <v>3</v>
          </cell>
          <cell r="EO219">
            <v>3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13.5</v>
          </cell>
          <cell r="EX219">
            <v>1</v>
          </cell>
          <cell r="EY219">
            <v>1</v>
          </cell>
          <cell r="EZ219">
            <v>0</v>
          </cell>
          <cell r="FA219">
            <v>137</v>
          </cell>
          <cell r="FB219">
            <v>1</v>
          </cell>
          <cell r="FC219">
            <v>1</v>
          </cell>
          <cell r="FD219">
            <v>0</v>
          </cell>
          <cell r="FE219">
            <v>0</v>
          </cell>
          <cell r="FF219">
            <v>15.42</v>
          </cell>
          <cell r="FG219">
            <v>2</v>
          </cell>
          <cell r="FH219">
            <v>2</v>
          </cell>
          <cell r="FI219">
            <v>43542</v>
          </cell>
          <cell r="FJ219">
            <v>15477</v>
          </cell>
          <cell r="FK219">
            <v>15477</v>
          </cell>
          <cell r="FL219">
            <v>9341.9</v>
          </cell>
          <cell r="FM219">
            <v>78.92</v>
          </cell>
          <cell r="FN219">
            <v>3025.1200000000003</v>
          </cell>
          <cell r="FO219">
            <v>9075.36</v>
          </cell>
        </row>
        <row r="220">
          <cell r="AI220" t="str">
            <v>Ул. Ухтомского дом 12</v>
          </cell>
          <cell r="AJ220">
            <v>9075.359375</v>
          </cell>
          <cell r="AK220">
            <v>9806.5</v>
          </cell>
          <cell r="AL220">
            <v>6496.4</v>
          </cell>
          <cell r="AM220">
            <v>6</v>
          </cell>
          <cell r="AN220">
            <v>6</v>
          </cell>
          <cell r="AO220" t="str">
            <v>АО УЖХ Демского района</v>
          </cell>
          <cell r="AP220">
            <v>9615.1</v>
          </cell>
          <cell r="AQ220">
            <v>192.9</v>
          </cell>
          <cell r="AR220">
            <v>913.8</v>
          </cell>
          <cell r="AS220">
            <v>57.8</v>
          </cell>
          <cell r="AT220">
            <v>192</v>
          </cell>
          <cell r="AU220">
            <v>9</v>
          </cell>
          <cell r="AV220">
            <v>483</v>
          </cell>
          <cell r="AW220">
            <v>0</v>
          </cell>
          <cell r="AX220" t="str">
            <v>отказ от услуги</v>
          </cell>
          <cell r="AY220">
            <v>2045.4</v>
          </cell>
          <cell r="AZ220">
            <v>4635.5</v>
          </cell>
          <cell r="BA220">
            <v>4393</v>
          </cell>
          <cell r="BB220">
            <v>4393</v>
          </cell>
          <cell r="BC220" t="str">
            <v>Управляющая компания</v>
          </cell>
          <cell r="BD220" t="str">
            <v>1. Жилой дом</v>
          </cell>
          <cell r="BE220">
            <v>35.799999999999997</v>
          </cell>
          <cell r="BF220" t="str">
            <v>2.Чёрный</v>
          </cell>
          <cell r="BG220" t="str">
            <v>2.Чёрный</v>
          </cell>
          <cell r="BH220" t="str">
            <v>3.Водяной</v>
          </cell>
          <cell r="BI220" t="str">
            <v>МУП УИС</v>
          </cell>
          <cell r="BJ220" t="str">
            <v>1. Чугун</v>
          </cell>
          <cell r="BK220">
            <v>6</v>
          </cell>
          <cell r="BL220" t="str">
            <v>2.Кирпич</v>
          </cell>
          <cell r="BM220">
            <v>28856</v>
          </cell>
          <cell r="BN220">
            <v>28856</v>
          </cell>
          <cell r="BO220" t="str">
            <v>Оборудован</v>
          </cell>
          <cell r="BP220" t="str">
            <v>4.Мягк/рулонная</v>
          </cell>
          <cell r="BQ220" t="str">
            <v>2.Плоская</v>
          </cell>
          <cell r="BR220">
            <v>1999</v>
          </cell>
          <cell r="BS220">
            <v>1600</v>
          </cell>
          <cell r="BT220">
            <v>1600</v>
          </cell>
          <cell r="BU220">
            <v>1600</v>
          </cell>
          <cell r="BV220">
            <v>0</v>
          </cell>
          <cell r="BW220" t="str">
            <v>3.Частный жилищный фонд</v>
          </cell>
          <cell r="BX220">
            <v>192</v>
          </cell>
          <cell r="BY220">
            <v>0</v>
          </cell>
          <cell r="BZ220" t="str">
            <v>2-я</v>
          </cell>
          <cell r="CA220">
            <v>1</v>
          </cell>
          <cell r="CB220">
            <v>27.01</v>
          </cell>
          <cell r="CC220">
            <v>27.009994506835938</v>
          </cell>
          <cell r="CD220">
            <v>9808</v>
          </cell>
          <cell r="CE220">
            <v>9808</v>
          </cell>
          <cell r="CF220" t="str">
            <v>ООО "Дёма Комфорт"</v>
          </cell>
          <cell r="CG220">
            <v>188</v>
          </cell>
          <cell r="CH220">
            <v>4</v>
          </cell>
          <cell r="CI220">
            <v>4</v>
          </cell>
          <cell r="CJ220">
            <v>4</v>
          </cell>
          <cell r="CK220">
            <v>3</v>
          </cell>
          <cell r="CL220">
            <v>1</v>
          </cell>
          <cell r="CM220">
            <v>195</v>
          </cell>
          <cell r="CN220">
            <v>971.6</v>
          </cell>
          <cell r="CO220">
            <v>971.6</v>
          </cell>
          <cell r="CP220">
            <v>2571.6</v>
          </cell>
          <cell r="CQ220">
            <v>2571.599609375</v>
          </cell>
          <cell r="CR220">
            <v>2571.599609375</v>
          </cell>
          <cell r="CS220">
            <v>2</v>
          </cell>
          <cell r="CT220">
            <v>192</v>
          </cell>
          <cell r="CU220">
            <v>0</v>
          </cell>
          <cell r="CV220">
            <v>166</v>
          </cell>
          <cell r="CW220">
            <v>173</v>
          </cell>
          <cell r="CX220">
            <v>1</v>
          </cell>
          <cell r="CY220">
            <v>1</v>
          </cell>
          <cell r="CZ220">
            <v>50465</v>
          </cell>
          <cell r="DA220" t="str">
            <v>Демский</v>
          </cell>
          <cell r="DB220" t="str">
            <v>3.Сборные ж/б панели</v>
          </cell>
          <cell r="DC220">
            <v>50465</v>
          </cell>
          <cell r="DD220">
            <v>50465</v>
          </cell>
          <cell r="DE220">
            <v>50465</v>
          </cell>
          <cell r="DF220">
            <v>50465</v>
          </cell>
          <cell r="DG220">
            <v>50465</v>
          </cell>
          <cell r="DH220">
            <v>50465</v>
          </cell>
          <cell r="DI220">
            <v>50465</v>
          </cell>
          <cell r="DJ220" t="str">
            <v>АО УЖХ Демского района</v>
          </cell>
          <cell r="DK220">
            <v>50465</v>
          </cell>
          <cell r="DL220">
            <v>50465</v>
          </cell>
          <cell r="DM220">
            <v>2885380</v>
          </cell>
          <cell r="DN220">
            <v>6</v>
          </cell>
          <cell r="DO220" t="str">
            <v>ГВС</v>
          </cell>
          <cell r="DP220" t="str">
            <v>УЖХ</v>
          </cell>
          <cell r="DQ220">
            <v>40126</v>
          </cell>
          <cell r="DR220">
            <v>0</v>
          </cell>
          <cell r="DS220">
            <v>0</v>
          </cell>
          <cell r="DT220">
            <v>192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 t="str">
            <v>4. Независимая схема</v>
          </cell>
          <cell r="EE220" t="str">
            <v>Нижний</v>
          </cell>
          <cell r="EF220">
            <v>0</v>
          </cell>
          <cell r="EG220">
            <v>0</v>
          </cell>
          <cell r="EH220">
            <v>460</v>
          </cell>
          <cell r="EI220">
            <v>3933</v>
          </cell>
          <cell r="EJ220">
            <v>1861</v>
          </cell>
          <cell r="EK220">
            <v>1309.5</v>
          </cell>
          <cell r="EL220">
            <v>529.5</v>
          </cell>
          <cell r="EM220">
            <v>492.5</v>
          </cell>
          <cell r="EN220">
            <v>0</v>
          </cell>
          <cell r="EO220">
            <v>99</v>
          </cell>
          <cell r="EP220">
            <v>1</v>
          </cell>
          <cell r="EQ220">
            <v>1</v>
          </cell>
          <cell r="ER220">
            <v>0</v>
          </cell>
          <cell r="ES220">
            <v>274</v>
          </cell>
          <cell r="ET220">
            <v>1</v>
          </cell>
          <cell r="EU220">
            <v>1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70</v>
          </cell>
          <cell r="FB220">
            <v>1</v>
          </cell>
          <cell r="FC220">
            <v>1</v>
          </cell>
          <cell r="FD220">
            <v>0</v>
          </cell>
          <cell r="FE220">
            <v>0</v>
          </cell>
          <cell r="FF220">
            <v>20.29</v>
          </cell>
          <cell r="FG220">
            <v>2</v>
          </cell>
          <cell r="FH220">
            <v>2</v>
          </cell>
          <cell r="FI220">
            <v>43497</v>
          </cell>
          <cell r="FJ220">
            <v>15477</v>
          </cell>
          <cell r="FK220">
            <v>15477</v>
          </cell>
          <cell r="FL220">
            <v>14679.5</v>
          </cell>
          <cell r="FM220">
            <v>78.92</v>
          </cell>
          <cell r="FN220">
            <v>5185.92</v>
          </cell>
          <cell r="FO220">
            <v>15557.76</v>
          </cell>
        </row>
        <row r="221">
          <cell r="AI221" t="str">
            <v>Ул. Ухтомского дом 16</v>
          </cell>
          <cell r="AJ221">
            <v>15557.7578125</v>
          </cell>
          <cell r="AK221">
            <v>6742.1</v>
          </cell>
          <cell r="AL221">
            <v>4391</v>
          </cell>
          <cell r="AM221">
            <v>10</v>
          </cell>
          <cell r="AN221">
            <v>10</v>
          </cell>
          <cell r="AO221" t="str">
            <v>АО УЖХ Демского района</v>
          </cell>
          <cell r="AP221">
            <v>6481</v>
          </cell>
          <cell r="AQ221">
            <v>261.10000000000002</v>
          </cell>
          <cell r="AR221">
            <v>675.8</v>
          </cell>
          <cell r="AS221">
            <v>20</v>
          </cell>
          <cell r="AT221">
            <v>147</v>
          </cell>
          <cell r="AU221">
            <v>5</v>
          </cell>
          <cell r="AV221">
            <v>320</v>
          </cell>
          <cell r="AW221">
            <v>0</v>
          </cell>
          <cell r="AX221">
            <v>0</v>
          </cell>
          <cell r="AY221">
            <v>1473.3</v>
          </cell>
          <cell r="AZ221">
            <v>1963</v>
          </cell>
          <cell r="BA221">
            <v>3537.1</v>
          </cell>
          <cell r="BB221">
            <v>3537.099609375</v>
          </cell>
          <cell r="BC221" t="str">
            <v>Управляющая компания</v>
          </cell>
          <cell r="BD221" t="str">
            <v>1. Жилой дом</v>
          </cell>
          <cell r="BE221">
            <v>38.200000000000003</v>
          </cell>
          <cell r="BF221" t="str">
            <v>2.Чёрный</v>
          </cell>
          <cell r="BG221">
            <v>38.199981689453125</v>
          </cell>
          <cell r="BH221" t="str">
            <v>3.Водяной</v>
          </cell>
          <cell r="BI221" t="str">
            <v>МУП УИС</v>
          </cell>
          <cell r="BJ221" t="str">
            <v>1. Чугун</v>
          </cell>
          <cell r="BK221">
            <v>38.199981689453125</v>
          </cell>
          <cell r="BL221" t="str">
            <v>2.Кирпич</v>
          </cell>
          <cell r="BM221">
            <v>27760</v>
          </cell>
          <cell r="BN221">
            <v>147</v>
          </cell>
          <cell r="BO221" t="str">
            <v>Оборудован</v>
          </cell>
          <cell r="BP221" t="str">
            <v>4.Мягк/рулонная</v>
          </cell>
          <cell r="BQ221" t="str">
            <v>2.Плоская</v>
          </cell>
          <cell r="BR221">
            <v>2628.1</v>
          </cell>
          <cell r="BS221">
            <v>2230</v>
          </cell>
          <cell r="BT221">
            <v>2230</v>
          </cell>
          <cell r="BU221">
            <v>2230</v>
          </cell>
          <cell r="BV221">
            <v>0</v>
          </cell>
          <cell r="BW221" t="str">
            <v>3.Частный жилищный фонд</v>
          </cell>
          <cell r="BX221">
            <v>147</v>
          </cell>
          <cell r="BY221">
            <v>0</v>
          </cell>
          <cell r="BZ221" t="str">
            <v>2-я</v>
          </cell>
          <cell r="CA221">
            <v>1</v>
          </cell>
          <cell r="CB221">
            <v>27.01</v>
          </cell>
          <cell r="CC221">
            <v>1</v>
          </cell>
          <cell r="CD221">
            <v>1</v>
          </cell>
          <cell r="CE221">
            <v>7856</v>
          </cell>
          <cell r="CF221" t="str">
            <v>ООО "Дёма Комфорт"</v>
          </cell>
          <cell r="CG221">
            <v>142</v>
          </cell>
          <cell r="CH221">
            <v>5</v>
          </cell>
          <cell r="CI221">
            <v>5</v>
          </cell>
          <cell r="CJ221">
            <v>5</v>
          </cell>
          <cell r="CK221">
            <v>0</v>
          </cell>
          <cell r="CL221">
            <v>1</v>
          </cell>
          <cell r="CM221">
            <v>148</v>
          </cell>
          <cell r="CN221">
            <v>695.8</v>
          </cell>
          <cell r="CO221">
            <v>0</v>
          </cell>
          <cell r="CP221">
            <v>2925.8</v>
          </cell>
          <cell r="CQ221">
            <v>2925.798828125</v>
          </cell>
          <cell r="CR221">
            <v>2925.798828125</v>
          </cell>
          <cell r="CS221">
            <v>4</v>
          </cell>
          <cell r="CT221">
            <v>147</v>
          </cell>
          <cell r="CU221">
            <v>0</v>
          </cell>
          <cell r="CV221">
            <v>126</v>
          </cell>
          <cell r="CW221">
            <v>0</v>
          </cell>
          <cell r="CX221">
            <v>3</v>
          </cell>
          <cell r="CY221">
            <v>3</v>
          </cell>
          <cell r="CZ221">
            <v>33447</v>
          </cell>
          <cell r="DA221" t="str">
            <v>Демский</v>
          </cell>
          <cell r="DB221" t="str">
            <v>3.Сборные ж/б панели</v>
          </cell>
          <cell r="DC221">
            <v>33447</v>
          </cell>
          <cell r="DD221">
            <v>33447</v>
          </cell>
          <cell r="DE221">
            <v>33447</v>
          </cell>
          <cell r="DF221">
            <v>33447</v>
          </cell>
          <cell r="DG221">
            <v>33447</v>
          </cell>
          <cell r="DH221">
            <v>33447</v>
          </cell>
          <cell r="DI221">
            <v>33447</v>
          </cell>
          <cell r="DJ221">
            <v>33447</v>
          </cell>
          <cell r="DK221">
            <v>0</v>
          </cell>
          <cell r="DL221">
            <v>0</v>
          </cell>
          <cell r="DM221">
            <v>14952078</v>
          </cell>
          <cell r="DN221">
            <v>8</v>
          </cell>
          <cell r="DO221" t="str">
            <v>Отопление</v>
          </cell>
          <cell r="DP221" t="str">
            <v>УЖХ</v>
          </cell>
          <cell r="DQ221">
            <v>39387</v>
          </cell>
          <cell r="DR221">
            <v>0</v>
          </cell>
          <cell r="DS221">
            <v>149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 t="str">
            <v>3.Зависимая схема</v>
          </cell>
          <cell r="EE221" t="str">
            <v>Нижний</v>
          </cell>
          <cell r="EF221">
            <v>0</v>
          </cell>
          <cell r="EG221">
            <v>0</v>
          </cell>
          <cell r="EH221">
            <v>1737.1</v>
          </cell>
          <cell r="EI221">
            <v>1800</v>
          </cell>
          <cell r="EJ221">
            <v>261</v>
          </cell>
          <cell r="EK221">
            <v>1192</v>
          </cell>
          <cell r="EL221">
            <v>54</v>
          </cell>
          <cell r="EM221">
            <v>366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90</v>
          </cell>
          <cell r="FB221">
            <v>1</v>
          </cell>
          <cell r="FC221">
            <v>1</v>
          </cell>
          <cell r="FD221">
            <v>0</v>
          </cell>
          <cell r="FE221">
            <v>0</v>
          </cell>
          <cell r="FF221">
            <v>13.33</v>
          </cell>
          <cell r="FG221">
            <v>13.329994201660156</v>
          </cell>
          <cell r="FH221">
            <v>13.329994201660156</v>
          </cell>
          <cell r="FI221">
            <v>43466</v>
          </cell>
          <cell r="FJ221">
            <v>15477</v>
          </cell>
          <cell r="FK221">
            <v>15477</v>
          </cell>
          <cell r="FL221">
            <v>11141.2</v>
          </cell>
          <cell r="FM221">
            <v>78.92</v>
          </cell>
          <cell r="FN221">
            <v>15571.71</v>
          </cell>
          <cell r="FO221">
            <v>46715.13</v>
          </cell>
        </row>
        <row r="222">
          <cell r="AI222" t="str">
            <v>Ул. Ухтомского дом 21</v>
          </cell>
          <cell r="AJ222">
            <v>46715.125</v>
          </cell>
          <cell r="AK222">
            <v>474.3</v>
          </cell>
          <cell r="AL222">
            <v>303.3</v>
          </cell>
          <cell r="AM222">
            <v>2</v>
          </cell>
          <cell r="AN222">
            <v>2</v>
          </cell>
          <cell r="AO222" t="str">
            <v>АО УЖХ Демского района</v>
          </cell>
          <cell r="AP222">
            <v>474.5</v>
          </cell>
          <cell r="AQ222">
            <v>0</v>
          </cell>
          <cell r="AR222">
            <v>57.1</v>
          </cell>
          <cell r="AS222">
            <v>5.3</v>
          </cell>
          <cell r="AT222">
            <v>12</v>
          </cell>
          <cell r="AU222">
            <v>2</v>
          </cell>
          <cell r="AV222">
            <v>27</v>
          </cell>
          <cell r="AW222">
            <v>0</v>
          </cell>
          <cell r="AX222">
            <v>0</v>
          </cell>
          <cell r="AY222">
            <v>0</v>
          </cell>
          <cell r="AZ222">
            <v>550.6</v>
          </cell>
          <cell r="BA222">
            <v>461.1</v>
          </cell>
          <cell r="BB222">
            <v>461.099853515625</v>
          </cell>
          <cell r="BC222" t="str">
            <v>Непосредственное</v>
          </cell>
          <cell r="BD222" t="str">
            <v>1. Жилой дом</v>
          </cell>
          <cell r="BE222">
            <v>50.2</v>
          </cell>
          <cell r="BF222" t="str">
            <v>2.Чёрный</v>
          </cell>
          <cell r="BG222">
            <v>50.199981689453125</v>
          </cell>
          <cell r="BH222" t="str">
            <v>3.Водяной</v>
          </cell>
          <cell r="BI222" t="str">
            <v>МУП УИС</v>
          </cell>
          <cell r="BJ222" t="str">
            <v>1. Чугун</v>
          </cell>
          <cell r="BK222">
            <v>50.199981689453125</v>
          </cell>
          <cell r="BL222" t="str">
            <v>2.Кирпич</v>
          </cell>
          <cell r="BM222">
            <v>22282</v>
          </cell>
          <cell r="BN222">
            <v>22282</v>
          </cell>
          <cell r="BO222" t="str">
            <v>Не оборудован</v>
          </cell>
          <cell r="BP222" t="str">
            <v>8.Профнастил</v>
          </cell>
          <cell r="BQ222" t="str">
            <v>1.Скатная</v>
          </cell>
          <cell r="BR222">
            <v>400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 t="str">
            <v>3.Частный жилищный фонд</v>
          </cell>
          <cell r="BX222">
            <v>12</v>
          </cell>
          <cell r="BY222">
            <v>0</v>
          </cell>
          <cell r="BZ222" t="str">
            <v>2-я</v>
          </cell>
          <cell r="CA222">
            <v>1</v>
          </cell>
          <cell r="CB222">
            <v>27.01</v>
          </cell>
          <cell r="CC222">
            <v>1</v>
          </cell>
          <cell r="CD222">
            <v>1</v>
          </cell>
          <cell r="CE222">
            <v>1</v>
          </cell>
          <cell r="CF222" t="str">
            <v>ООО "Дёма Комфорт"</v>
          </cell>
          <cell r="CG222">
            <v>12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12</v>
          </cell>
          <cell r="CN222">
            <v>62.4</v>
          </cell>
          <cell r="CO222">
            <v>0</v>
          </cell>
          <cell r="CP222">
            <v>62.4</v>
          </cell>
          <cell r="CQ222">
            <v>62.399993896484375</v>
          </cell>
          <cell r="CR222">
            <v>62.399993896484375</v>
          </cell>
          <cell r="CS222">
            <v>0</v>
          </cell>
          <cell r="CT222">
            <v>12</v>
          </cell>
          <cell r="CU222">
            <v>0</v>
          </cell>
          <cell r="CV222">
            <v>0</v>
          </cell>
          <cell r="CW222">
            <v>0</v>
          </cell>
          <cell r="CX222">
            <v>1</v>
          </cell>
          <cell r="CY222">
            <v>1</v>
          </cell>
          <cell r="CZ222">
            <v>2050</v>
          </cell>
          <cell r="DA222" t="str">
            <v>Демский</v>
          </cell>
          <cell r="DB222" t="str">
            <v>2.Деревянные</v>
          </cell>
          <cell r="DC222">
            <v>2050</v>
          </cell>
          <cell r="DD222">
            <v>2050</v>
          </cell>
          <cell r="DE222">
            <v>2050</v>
          </cell>
          <cell r="DF222">
            <v>2050</v>
          </cell>
          <cell r="DG222">
            <v>2050</v>
          </cell>
          <cell r="DH222">
            <v>2050</v>
          </cell>
          <cell r="DI222">
            <v>2050</v>
          </cell>
          <cell r="DJ222">
            <v>2050</v>
          </cell>
          <cell r="DK222">
            <v>0</v>
          </cell>
          <cell r="DL222">
            <v>0</v>
          </cell>
          <cell r="DM222">
            <v>743064</v>
          </cell>
          <cell r="DN222">
            <v>0</v>
          </cell>
          <cell r="DO222">
            <v>0</v>
          </cell>
          <cell r="DP222" t="str">
            <v>УЖХ</v>
          </cell>
          <cell r="DQ222">
            <v>35563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 t="str">
            <v>4. Независимая схема</v>
          </cell>
          <cell r="EE222" t="str">
            <v>Нижний</v>
          </cell>
          <cell r="EF222">
            <v>0</v>
          </cell>
          <cell r="EG222">
            <v>0</v>
          </cell>
          <cell r="EH222">
            <v>0</v>
          </cell>
          <cell r="EI222">
            <v>461.1</v>
          </cell>
          <cell r="EJ222">
            <v>323.60000000000002</v>
          </cell>
          <cell r="EK222">
            <v>122.5</v>
          </cell>
          <cell r="EL222">
            <v>52.5</v>
          </cell>
          <cell r="EM222">
            <v>52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  <cell r="FA222">
            <v>0</v>
          </cell>
          <cell r="FB222">
            <v>0</v>
          </cell>
          <cell r="FC222">
            <v>0</v>
          </cell>
          <cell r="FD222">
            <v>0</v>
          </cell>
          <cell r="FE222">
            <v>0</v>
          </cell>
          <cell r="FF222">
            <v>17.54</v>
          </cell>
          <cell r="FG222">
            <v>17.539993286132813</v>
          </cell>
          <cell r="FH222" t="str">
            <v>С УЛК (ЖЭУ)</v>
          </cell>
          <cell r="FI222">
            <v>43647</v>
          </cell>
          <cell r="FJ222">
            <v>15477</v>
          </cell>
          <cell r="FK222">
            <v>15477</v>
          </cell>
          <cell r="FL222">
            <v>536.70000000000005</v>
          </cell>
          <cell r="FM222">
            <v>78.92</v>
          </cell>
          <cell r="FN222">
            <v>1271.1599999999999</v>
          </cell>
          <cell r="FO222">
            <v>3813.4799999999996</v>
          </cell>
        </row>
        <row r="223">
          <cell r="AI223" t="str">
            <v>Ул. Ухтомского дом 22</v>
          </cell>
          <cell r="AJ223">
            <v>3813.478515625</v>
          </cell>
          <cell r="AK223">
            <v>7072.4</v>
          </cell>
          <cell r="AL223">
            <v>4785.7</v>
          </cell>
          <cell r="AM223">
            <v>4</v>
          </cell>
          <cell r="AN223">
            <v>4</v>
          </cell>
          <cell r="AO223" t="str">
            <v>АО УЖХ Демского района</v>
          </cell>
          <cell r="AP223">
            <v>6748.07</v>
          </cell>
          <cell r="AQ223">
            <v>324.33</v>
          </cell>
          <cell r="AR223">
            <v>535.6</v>
          </cell>
          <cell r="AS223">
            <v>674</v>
          </cell>
          <cell r="AT223">
            <v>136</v>
          </cell>
          <cell r="AU223">
            <v>9</v>
          </cell>
          <cell r="AV223">
            <v>391</v>
          </cell>
          <cell r="AW223">
            <v>0</v>
          </cell>
          <cell r="AX223" t="str">
            <v>отказ от услуги</v>
          </cell>
          <cell r="AY223">
            <v>433.9</v>
          </cell>
          <cell r="AZ223">
            <v>1598.9</v>
          </cell>
          <cell r="BA223">
            <v>1410.2</v>
          </cell>
          <cell r="BB223">
            <v>1410.19921875</v>
          </cell>
          <cell r="BC223" t="str">
            <v>Управляющая компания</v>
          </cell>
          <cell r="BD223" t="str">
            <v>1. Жилой дом</v>
          </cell>
          <cell r="BE223">
            <v>35</v>
          </cell>
          <cell r="BF223" t="str">
            <v>2.Чёрный</v>
          </cell>
          <cell r="BG223" t="str">
            <v>2.Чёрный</v>
          </cell>
          <cell r="BH223" t="str">
            <v>3.Водяной</v>
          </cell>
          <cell r="BI223" t="str">
            <v>МУП УИС</v>
          </cell>
          <cell r="BJ223" t="str">
            <v>1. Чугун</v>
          </cell>
          <cell r="BK223">
            <v>4</v>
          </cell>
          <cell r="BL223" t="str">
            <v>8.Сборные ж/б</v>
          </cell>
          <cell r="BM223">
            <v>29221</v>
          </cell>
          <cell r="BN223">
            <v>29221</v>
          </cell>
          <cell r="BO223" t="str">
            <v>Оборудован</v>
          </cell>
          <cell r="BP223" t="str">
            <v>4.Мягк/рулонная</v>
          </cell>
          <cell r="BQ223" t="str">
            <v>2.Плоская</v>
          </cell>
          <cell r="BR223">
            <v>1345</v>
          </cell>
          <cell r="BS223">
            <v>1222</v>
          </cell>
          <cell r="BT223">
            <v>1222</v>
          </cell>
          <cell r="BU223">
            <v>1222</v>
          </cell>
          <cell r="BV223">
            <v>0</v>
          </cell>
          <cell r="BW223" t="str">
            <v>3.Частный жилищный фонд</v>
          </cell>
          <cell r="BX223">
            <v>136</v>
          </cell>
          <cell r="BY223">
            <v>0</v>
          </cell>
          <cell r="BZ223" t="str">
            <v>2-я</v>
          </cell>
          <cell r="CA223">
            <v>1</v>
          </cell>
          <cell r="CB223">
            <v>27.01</v>
          </cell>
          <cell r="CC223">
            <v>27.009994506835938</v>
          </cell>
          <cell r="CD223">
            <v>7181.1</v>
          </cell>
          <cell r="CE223">
            <v>7181.09765625</v>
          </cell>
          <cell r="CF223" t="str">
            <v>ООО "Дёма Комфорт"</v>
          </cell>
          <cell r="CG223">
            <v>129</v>
          </cell>
          <cell r="CH223">
            <v>7</v>
          </cell>
          <cell r="CI223">
            <v>7</v>
          </cell>
          <cell r="CJ223">
            <v>7</v>
          </cell>
          <cell r="CK223">
            <v>0</v>
          </cell>
          <cell r="CL223">
            <v>1</v>
          </cell>
          <cell r="CM223">
            <v>139</v>
          </cell>
          <cell r="CN223">
            <v>1209.5999999999999</v>
          </cell>
          <cell r="CO223">
            <v>1209.5999999999999</v>
          </cell>
          <cell r="CP223">
            <v>2431.6</v>
          </cell>
          <cell r="CQ223">
            <v>2431.599609375</v>
          </cell>
          <cell r="CR223">
            <v>2431.599609375</v>
          </cell>
          <cell r="CS223">
            <v>2</v>
          </cell>
          <cell r="CT223">
            <v>136</v>
          </cell>
          <cell r="CU223">
            <v>0</v>
          </cell>
          <cell r="CV223">
            <v>123</v>
          </cell>
          <cell r="CW223">
            <v>108</v>
          </cell>
          <cell r="CX223">
            <v>4</v>
          </cell>
          <cell r="CY223">
            <v>4</v>
          </cell>
          <cell r="CZ223">
            <v>33745</v>
          </cell>
          <cell r="DA223" t="str">
            <v>Демский</v>
          </cell>
          <cell r="DB223" t="str">
            <v>1.Плита монолит/бетон</v>
          </cell>
          <cell r="DC223">
            <v>33745</v>
          </cell>
          <cell r="DD223">
            <v>33745</v>
          </cell>
          <cell r="DE223">
            <v>33745</v>
          </cell>
          <cell r="DF223">
            <v>33745</v>
          </cell>
          <cell r="DG223">
            <v>33745</v>
          </cell>
          <cell r="DH223">
            <v>33745</v>
          </cell>
          <cell r="DI223">
            <v>33745</v>
          </cell>
          <cell r="DJ223" t="str">
            <v>АО УЖХ Демского района</v>
          </cell>
          <cell r="DK223">
            <v>33745</v>
          </cell>
          <cell r="DL223">
            <v>33745</v>
          </cell>
          <cell r="DM223">
            <v>17582529</v>
          </cell>
          <cell r="DN223">
            <v>3</v>
          </cell>
          <cell r="DO223" t="str">
            <v>ГВС</v>
          </cell>
          <cell r="DP223" t="str">
            <v>УЖХ</v>
          </cell>
          <cell r="DQ223">
            <v>39345</v>
          </cell>
          <cell r="DR223">
            <v>0</v>
          </cell>
          <cell r="DS223">
            <v>0</v>
          </cell>
          <cell r="DT223">
            <v>136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 t="str">
            <v>3.Зависимая схема</v>
          </cell>
          <cell r="EE223" t="str">
            <v>Нижний</v>
          </cell>
          <cell r="EF223">
            <v>0</v>
          </cell>
          <cell r="EG223">
            <v>0</v>
          </cell>
          <cell r="EH223">
            <v>280</v>
          </cell>
          <cell r="EI223">
            <v>1130.2</v>
          </cell>
          <cell r="EJ223">
            <v>62</v>
          </cell>
          <cell r="EK223">
            <v>833.9</v>
          </cell>
          <cell r="EL223">
            <v>212.3</v>
          </cell>
          <cell r="EM223">
            <v>408.3</v>
          </cell>
          <cell r="EN223">
            <v>4</v>
          </cell>
          <cell r="EO223">
            <v>4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20</v>
          </cell>
          <cell r="EX223">
            <v>1</v>
          </cell>
          <cell r="EY223">
            <v>1</v>
          </cell>
          <cell r="EZ223">
            <v>0</v>
          </cell>
          <cell r="FA223">
            <v>62.4</v>
          </cell>
          <cell r="FB223">
            <v>1</v>
          </cell>
          <cell r="FC223">
            <v>1</v>
          </cell>
          <cell r="FD223">
            <v>0</v>
          </cell>
          <cell r="FE223">
            <v>0</v>
          </cell>
          <cell r="FF223">
            <v>18.399999999999999</v>
          </cell>
          <cell r="FG223">
            <v>2</v>
          </cell>
          <cell r="FH223">
            <v>2</v>
          </cell>
          <cell r="FI223">
            <v>43739</v>
          </cell>
          <cell r="FJ223">
            <v>15477</v>
          </cell>
          <cell r="FK223">
            <v>15477</v>
          </cell>
          <cell r="FL223">
            <v>10369.9</v>
          </cell>
          <cell r="FM223">
            <v>78.92</v>
          </cell>
          <cell r="FN223">
            <v>3673.36</v>
          </cell>
          <cell r="FO223">
            <v>11020.08</v>
          </cell>
        </row>
        <row r="224">
          <cell r="AI224" t="str">
            <v>Ул. Ухтомского дом 23</v>
          </cell>
          <cell r="AJ224">
            <v>11020.078125</v>
          </cell>
          <cell r="AK224">
            <v>466.3</v>
          </cell>
          <cell r="AL224">
            <v>301.60000000000002</v>
          </cell>
          <cell r="AM224">
            <v>2</v>
          </cell>
          <cell r="AN224">
            <v>2</v>
          </cell>
          <cell r="AO224" t="str">
            <v>АО УЖХ Демского района</v>
          </cell>
          <cell r="AP224">
            <v>376.6</v>
          </cell>
          <cell r="AQ224">
            <v>91.1</v>
          </cell>
          <cell r="AR224">
            <v>55.6</v>
          </cell>
          <cell r="AS224">
            <v>4.8</v>
          </cell>
          <cell r="AT224">
            <v>12</v>
          </cell>
          <cell r="AU224">
            <v>2</v>
          </cell>
          <cell r="AV224">
            <v>25</v>
          </cell>
          <cell r="AW224">
            <v>0</v>
          </cell>
          <cell r="AX224">
            <v>0</v>
          </cell>
          <cell r="AY224">
            <v>0</v>
          </cell>
          <cell r="AZ224">
            <v>164.8</v>
          </cell>
          <cell r="BA224">
            <v>1517.1</v>
          </cell>
          <cell r="BB224">
            <v>1517.099609375</v>
          </cell>
          <cell r="BC224" t="str">
            <v>Непосредственное</v>
          </cell>
          <cell r="BD224" t="str">
            <v>1. Жилой дом</v>
          </cell>
          <cell r="BE224">
            <v>49.4</v>
          </cell>
          <cell r="BF224" t="str">
            <v>2.Чёрный</v>
          </cell>
          <cell r="BG224">
            <v>49.399993896484375</v>
          </cell>
          <cell r="BH224" t="str">
            <v>3.Водяной</v>
          </cell>
          <cell r="BI224" t="str">
            <v>МУП УИС</v>
          </cell>
          <cell r="BJ224" t="str">
            <v>1. Чугун</v>
          </cell>
          <cell r="BK224">
            <v>49.399993896484375</v>
          </cell>
          <cell r="BL224" t="str">
            <v>2.Кирпич</v>
          </cell>
          <cell r="BM224">
            <v>22647</v>
          </cell>
          <cell r="BN224">
            <v>22647</v>
          </cell>
          <cell r="BO224" t="str">
            <v>Не оборудован</v>
          </cell>
          <cell r="BP224" t="str">
            <v>1.Абсоцемент(шифер)</v>
          </cell>
          <cell r="BQ224" t="str">
            <v>1.Скатная</v>
          </cell>
          <cell r="BR224">
            <v>440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 t="str">
            <v>3.Частный жилищный фонд</v>
          </cell>
          <cell r="BX224">
            <v>12</v>
          </cell>
          <cell r="BY224">
            <v>0</v>
          </cell>
          <cell r="BZ224" t="str">
            <v>2-я</v>
          </cell>
          <cell r="CA224">
            <v>1</v>
          </cell>
          <cell r="CB224">
            <v>27.01</v>
          </cell>
          <cell r="CC224">
            <v>27.009994506835938</v>
          </cell>
          <cell r="CD224">
            <v>27.009994506835938</v>
          </cell>
          <cell r="CE224">
            <v>27.009994506835938</v>
          </cell>
          <cell r="CF224" t="str">
            <v>ООО "Дёма Комфорт"</v>
          </cell>
          <cell r="CG224">
            <v>10</v>
          </cell>
          <cell r="CH224">
            <v>2</v>
          </cell>
          <cell r="CI224">
            <v>2</v>
          </cell>
          <cell r="CJ224">
            <v>2</v>
          </cell>
          <cell r="CK224">
            <v>0</v>
          </cell>
          <cell r="CL224">
            <v>0</v>
          </cell>
          <cell r="CM224">
            <v>13</v>
          </cell>
          <cell r="CN224">
            <v>60.4</v>
          </cell>
          <cell r="CO224">
            <v>0</v>
          </cell>
          <cell r="CP224">
            <v>60.4</v>
          </cell>
          <cell r="CQ224">
            <v>60.399993896484375</v>
          </cell>
          <cell r="CR224">
            <v>60.399993896484375</v>
          </cell>
          <cell r="CS224">
            <v>0</v>
          </cell>
          <cell r="CT224">
            <v>12</v>
          </cell>
          <cell r="CU224">
            <v>0</v>
          </cell>
          <cell r="CV224">
            <v>0</v>
          </cell>
          <cell r="CW224">
            <v>0</v>
          </cell>
          <cell r="CX224">
            <v>1</v>
          </cell>
          <cell r="CY224">
            <v>1</v>
          </cell>
          <cell r="CZ224">
            <v>1929</v>
          </cell>
          <cell r="DA224" t="str">
            <v>Демский</v>
          </cell>
          <cell r="DB224" t="str">
            <v>3.Сборные ж/б панели</v>
          </cell>
          <cell r="DC224">
            <v>1929</v>
          </cell>
          <cell r="DD224">
            <v>1929</v>
          </cell>
          <cell r="DE224">
            <v>1929</v>
          </cell>
          <cell r="DF224">
            <v>1929</v>
          </cell>
          <cell r="DG224">
            <v>1929</v>
          </cell>
          <cell r="DH224">
            <v>1929</v>
          </cell>
          <cell r="DI224">
            <v>1929</v>
          </cell>
          <cell r="DJ224">
            <v>1929</v>
          </cell>
          <cell r="DK224">
            <v>0</v>
          </cell>
          <cell r="DL224">
            <v>0</v>
          </cell>
          <cell r="DM224">
            <v>738597</v>
          </cell>
          <cell r="DN224">
            <v>0</v>
          </cell>
          <cell r="DO224">
            <v>0</v>
          </cell>
          <cell r="DP224" t="str">
            <v>УЖХ</v>
          </cell>
          <cell r="DQ224">
            <v>35614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 t="str">
            <v>4. Независимая схема</v>
          </cell>
          <cell r="EE224" t="str">
            <v>Нижний</v>
          </cell>
          <cell r="EF224">
            <v>0</v>
          </cell>
          <cell r="EG224">
            <v>0</v>
          </cell>
          <cell r="EH224">
            <v>0</v>
          </cell>
          <cell r="EI224">
            <v>1517.1</v>
          </cell>
          <cell r="EJ224">
            <v>93.2</v>
          </cell>
          <cell r="EK224">
            <v>93.199951171875</v>
          </cell>
          <cell r="EL224">
            <v>93.199951171875</v>
          </cell>
          <cell r="EM224">
            <v>71.599999999999994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17</v>
          </cell>
          <cell r="FG224">
            <v>17</v>
          </cell>
          <cell r="FH224" t="str">
            <v>С УЛК (ЖЭУ)</v>
          </cell>
          <cell r="FI224">
            <v>43647</v>
          </cell>
          <cell r="FJ224">
            <v>15477</v>
          </cell>
          <cell r="FK224">
            <v>15477</v>
          </cell>
          <cell r="FL224">
            <v>526.70000000000005</v>
          </cell>
          <cell r="FM224">
            <v>78.92</v>
          </cell>
          <cell r="FN224">
            <v>324.12</v>
          </cell>
          <cell r="FO224">
            <v>972.36</v>
          </cell>
        </row>
        <row r="225">
          <cell r="AI225" t="str">
            <v>Ул. Ухтомского дом 24</v>
          </cell>
          <cell r="AJ225">
            <v>972.35986328125</v>
          </cell>
          <cell r="AK225">
            <v>5913.5</v>
          </cell>
          <cell r="AL225">
            <v>3715.3</v>
          </cell>
          <cell r="AM225">
            <v>3</v>
          </cell>
          <cell r="AN225">
            <v>3</v>
          </cell>
          <cell r="AO225" t="str">
            <v>АО УЖХ Демского района</v>
          </cell>
          <cell r="AP225">
            <v>5878.8</v>
          </cell>
          <cell r="AQ225">
            <v>34.700000000000003</v>
          </cell>
          <cell r="AR225">
            <v>263.39999999999998</v>
          </cell>
          <cell r="AS225">
            <v>335.3</v>
          </cell>
          <cell r="AT225">
            <v>107</v>
          </cell>
          <cell r="AU225">
            <v>9</v>
          </cell>
          <cell r="AV225">
            <v>277</v>
          </cell>
          <cell r="AW225">
            <v>0</v>
          </cell>
          <cell r="AX225" t="str">
            <v>отказ от услуги</v>
          </cell>
          <cell r="AY225">
            <v>172.5</v>
          </cell>
          <cell r="AZ225">
            <v>1886.7</v>
          </cell>
          <cell r="BA225">
            <v>3110.2</v>
          </cell>
          <cell r="BB225">
            <v>3110.19921875</v>
          </cell>
          <cell r="BC225" t="str">
            <v>Управляющая компания</v>
          </cell>
          <cell r="BD225" t="str">
            <v>1. Жилой дом</v>
          </cell>
          <cell r="BE225">
            <v>30.2</v>
          </cell>
          <cell r="BF225" t="str">
            <v>2.Чёрный</v>
          </cell>
          <cell r="BG225" t="str">
            <v>1.Оцинкованный</v>
          </cell>
          <cell r="BH225" t="str">
            <v>3.Водяной</v>
          </cell>
          <cell r="BI225" t="str">
            <v>МУП УИС</v>
          </cell>
          <cell r="BJ225" t="str">
            <v>1. Чугун</v>
          </cell>
          <cell r="BK225">
            <v>3</v>
          </cell>
          <cell r="BL225" t="str">
            <v>2.Кирпич</v>
          </cell>
          <cell r="BM225">
            <v>31413</v>
          </cell>
          <cell r="BN225">
            <v>31413</v>
          </cell>
          <cell r="BO225" t="str">
            <v>Оборудован</v>
          </cell>
          <cell r="BP225" t="str">
            <v>4.Мягк/рулонная</v>
          </cell>
          <cell r="BQ225" t="str">
            <v>2.Плоская</v>
          </cell>
          <cell r="BR225">
            <v>1276</v>
          </cell>
          <cell r="BS225">
            <v>739</v>
          </cell>
          <cell r="BT225">
            <v>112.7</v>
          </cell>
          <cell r="BU225">
            <v>112.699951171875</v>
          </cell>
          <cell r="BV225">
            <v>0</v>
          </cell>
          <cell r="BW225" t="str">
            <v>3.Частный жилищный фонд</v>
          </cell>
          <cell r="BX225">
            <v>107</v>
          </cell>
          <cell r="BY225">
            <v>0</v>
          </cell>
          <cell r="BZ225" t="str">
            <v>2-я</v>
          </cell>
          <cell r="CA225">
            <v>1</v>
          </cell>
          <cell r="CB225">
            <v>27.01</v>
          </cell>
          <cell r="CC225">
            <v>27.009994506835938</v>
          </cell>
          <cell r="CD225">
            <v>5913.5</v>
          </cell>
          <cell r="CE225">
            <v>5913.5</v>
          </cell>
          <cell r="CF225" t="str">
            <v>ООО "Дёма Комфорт"</v>
          </cell>
          <cell r="CG225">
            <v>106</v>
          </cell>
          <cell r="CH225">
            <v>1</v>
          </cell>
          <cell r="CI225">
            <v>1</v>
          </cell>
          <cell r="CJ225">
            <v>1</v>
          </cell>
          <cell r="CK225">
            <v>0</v>
          </cell>
          <cell r="CL225">
            <v>1</v>
          </cell>
          <cell r="CM225">
            <v>107</v>
          </cell>
          <cell r="CN225">
            <v>598.70000000000005</v>
          </cell>
          <cell r="CO225">
            <v>598.70000000000005</v>
          </cell>
          <cell r="CP225">
            <v>1225</v>
          </cell>
          <cell r="CQ225">
            <v>1225</v>
          </cell>
          <cell r="CR225">
            <v>1225</v>
          </cell>
          <cell r="CS225">
            <v>1</v>
          </cell>
          <cell r="CT225">
            <v>107</v>
          </cell>
          <cell r="CU225">
            <v>0</v>
          </cell>
          <cell r="CV225">
            <v>97</v>
          </cell>
          <cell r="CW225">
            <v>100</v>
          </cell>
          <cell r="CX225">
            <v>1</v>
          </cell>
          <cell r="CY225">
            <v>1</v>
          </cell>
          <cell r="CZ225">
            <v>29482</v>
          </cell>
          <cell r="DA225" t="str">
            <v>Демский</v>
          </cell>
          <cell r="DB225" t="str">
            <v>3.Сборные ж/б панели</v>
          </cell>
          <cell r="DC225">
            <v>29482</v>
          </cell>
          <cell r="DD225">
            <v>29482</v>
          </cell>
          <cell r="DE225">
            <v>29482</v>
          </cell>
          <cell r="DF225">
            <v>29482</v>
          </cell>
          <cell r="DG225">
            <v>29482</v>
          </cell>
          <cell r="DH225">
            <v>29482</v>
          </cell>
          <cell r="DI225">
            <v>29482</v>
          </cell>
          <cell r="DJ225" t="str">
            <v>АО УЖХ Демского района</v>
          </cell>
          <cell r="DK225">
            <v>29482</v>
          </cell>
          <cell r="DL225">
            <v>29482</v>
          </cell>
          <cell r="DM225">
            <v>16661960</v>
          </cell>
          <cell r="DN225">
            <v>3</v>
          </cell>
          <cell r="DO225" t="str">
            <v>ГВС</v>
          </cell>
          <cell r="DP225" t="str">
            <v>УЖХ</v>
          </cell>
          <cell r="DQ225">
            <v>40210</v>
          </cell>
          <cell r="DR225">
            <v>0</v>
          </cell>
          <cell r="DS225">
            <v>0</v>
          </cell>
          <cell r="DT225">
            <v>107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 t="str">
            <v>4. Независимая схема</v>
          </cell>
          <cell r="EE225" t="str">
            <v>Нижний</v>
          </cell>
          <cell r="EF225">
            <v>0</v>
          </cell>
          <cell r="EG225">
            <v>0</v>
          </cell>
          <cell r="EH225">
            <v>495</v>
          </cell>
          <cell r="EI225">
            <v>2615.1999999999998</v>
          </cell>
          <cell r="EJ225">
            <v>517</v>
          </cell>
          <cell r="EK225">
            <v>622.6</v>
          </cell>
          <cell r="EL225">
            <v>215</v>
          </cell>
          <cell r="EM225">
            <v>436.1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96</v>
          </cell>
          <cell r="FB225">
            <v>1</v>
          </cell>
          <cell r="FC225">
            <v>1</v>
          </cell>
          <cell r="FD225">
            <v>0</v>
          </cell>
          <cell r="FE225">
            <v>0</v>
          </cell>
          <cell r="FF225">
            <v>18.510000000000002</v>
          </cell>
          <cell r="FG225">
            <v>2</v>
          </cell>
          <cell r="FH225">
            <v>2</v>
          </cell>
          <cell r="FI225">
            <v>43466</v>
          </cell>
          <cell r="FJ225">
            <v>15477</v>
          </cell>
          <cell r="FK225">
            <v>15477</v>
          </cell>
          <cell r="FL225">
            <v>7941</v>
          </cell>
          <cell r="FM225">
            <v>78.92</v>
          </cell>
          <cell r="FN225">
            <v>2890.07</v>
          </cell>
          <cell r="FO225">
            <v>8670.2100000000009</v>
          </cell>
        </row>
        <row r="226">
          <cell r="AI226" t="str">
            <v>Ул. Ухтомского дом 26</v>
          </cell>
          <cell r="AJ226">
            <v>8670.203125</v>
          </cell>
          <cell r="AK226">
            <v>14619.3</v>
          </cell>
          <cell r="AL226">
            <v>8539.2999999999993</v>
          </cell>
          <cell r="AM226">
            <v>7</v>
          </cell>
          <cell r="AN226">
            <v>7</v>
          </cell>
          <cell r="AO226" t="str">
            <v>АО УЖХ Демского района</v>
          </cell>
          <cell r="AP226">
            <v>14006.48</v>
          </cell>
          <cell r="AQ226">
            <v>612.41999999999996</v>
          </cell>
          <cell r="AR226">
            <v>1956.5</v>
          </cell>
          <cell r="AS226">
            <v>161.69999999999999</v>
          </cell>
          <cell r="AT226">
            <v>250</v>
          </cell>
          <cell r="AU226">
            <v>9</v>
          </cell>
          <cell r="AV226">
            <v>681</v>
          </cell>
          <cell r="AW226">
            <v>0</v>
          </cell>
          <cell r="AX226" t="str">
            <v>отказ от услуги</v>
          </cell>
          <cell r="AY226">
            <v>157</v>
          </cell>
          <cell r="AZ226">
            <v>3638.8</v>
          </cell>
          <cell r="BA226">
            <v>5104</v>
          </cell>
          <cell r="BB226">
            <v>5104</v>
          </cell>
          <cell r="BC226" t="str">
            <v>Управляющая компания</v>
          </cell>
          <cell r="BD226" t="str">
            <v>1. Жилой дом</v>
          </cell>
          <cell r="BE226">
            <v>34.200000000000003</v>
          </cell>
          <cell r="BF226" t="str">
            <v>2.Чёрный</v>
          </cell>
          <cell r="BG226" t="str">
            <v>2.Чёрный</v>
          </cell>
          <cell r="BH226" t="str">
            <v>3.Водяной</v>
          </cell>
          <cell r="BI226" t="str">
            <v>МУП УИС</v>
          </cell>
          <cell r="BJ226" t="str">
            <v>1. Чугун</v>
          </cell>
          <cell r="BK226">
            <v>7</v>
          </cell>
          <cell r="BL226" t="str">
            <v>8.Сборные ж/б</v>
          </cell>
          <cell r="BM226">
            <v>29587</v>
          </cell>
          <cell r="BN226">
            <v>29587</v>
          </cell>
          <cell r="BO226" t="str">
            <v>Оборудован</v>
          </cell>
          <cell r="BP226" t="str">
            <v>4.Мягк/рулонная</v>
          </cell>
          <cell r="BQ226" t="str">
            <v>2.Плоская</v>
          </cell>
          <cell r="BR226">
            <v>2663</v>
          </cell>
          <cell r="BS226">
            <v>1786</v>
          </cell>
          <cell r="BT226">
            <v>86.7</v>
          </cell>
          <cell r="BU226">
            <v>86.699951171875</v>
          </cell>
          <cell r="BV226">
            <v>0</v>
          </cell>
          <cell r="BW226" t="str">
            <v>3.Частный жилищный фонд</v>
          </cell>
          <cell r="BX226">
            <v>250</v>
          </cell>
          <cell r="BY226">
            <v>0</v>
          </cell>
          <cell r="BZ226" t="str">
            <v>2-я</v>
          </cell>
          <cell r="CA226">
            <v>1</v>
          </cell>
          <cell r="CB226">
            <v>27.01</v>
          </cell>
          <cell r="CC226">
            <v>27.009994506835938</v>
          </cell>
          <cell r="CD226">
            <v>14656</v>
          </cell>
          <cell r="CE226">
            <v>14656</v>
          </cell>
          <cell r="CF226" t="str">
            <v>ООО "Дёма Комфорт"</v>
          </cell>
          <cell r="CG226">
            <v>238</v>
          </cell>
          <cell r="CH226">
            <v>12</v>
          </cell>
          <cell r="CI226">
            <v>12</v>
          </cell>
          <cell r="CJ226">
            <v>12</v>
          </cell>
          <cell r="CK226">
            <v>0</v>
          </cell>
          <cell r="CL226">
            <v>1</v>
          </cell>
          <cell r="CM226">
            <v>268</v>
          </cell>
          <cell r="CN226">
            <v>2118.1999999999998</v>
          </cell>
          <cell r="CO226">
            <v>2118.1999999999998</v>
          </cell>
          <cell r="CP226">
            <v>3817.5</v>
          </cell>
          <cell r="CQ226">
            <v>3817.5</v>
          </cell>
          <cell r="CR226">
            <v>3817.5</v>
          </cell>
          <cell r="CS226">
            <v>2</v>
          </cell>
          <cell r="CT226">
            <v>250</v>
          </cell>
          <cell r="CU226">
            <v>0</v>
          </cell>
          <cell r="CV226">
            <v>226</v>
          </cell>
          <cell r="CW226">
            <v>224</v>
          </cell>
          <cell r="CX226">
            <v>1</v>
          </cell>
          <cell r="CY226">
            <v>1</v>
          </cell>
          <cell r="CZ226">
            <v>60318</v>
          </cell>
          <cell r="DA226" t="str">
            <v>Демский</v>
          </cell>
          <cell r="DB226" t="str">
            <v>3.Сборные ж/б панели</v>
          </cell>
          <cell r="DC226">
            <v>60318</v>
          </cell>
          <cell r="DD226">
            <v>60318</v>
          </cell>
          <cell r="DE226">
            <v>60318</v>
          </cell>
          <cell r="DF226">
            <v>60318</v>
          </cell>
          <cell r="DG226">
            <v>60318</v>
          </cell>
          <cell r="DH226">
            <v>60318</v>
          </cell>
          <cell r="DI226">
            <v>60318</v>
          </cell>
          <cell r="DJ226" t="str">
            <v>АО УЖХ Демского района</v>
          </cell>
          <cell r="DK226">
            <v>60318</v>
          </cell>
          <cell r="DL226">
            <v>60318</v>
          </cell>
          <cell r="DM226">
            <v>35244246</v>
          </cell>
          <cell r="DN226">
            <v>7</v>
          </cell>
          <cell r="DO226" t="str">
            <v>ГВС</v>
          </cell>
          <cell r="DP226" t="str">
            <v>УЖХ</v>
          </cell>
          <cell r="DQ226">
            <v>40261</v>
          </cell>
          <cell r="DR226">
            <v>0</v>
          </cell>
          <cell r="DS226">
            <v>0</v>
          </cell>
          <cell r="DT226">
            <v>251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 t="str">
            <v>4. Независимая схема</v>
          </cell>
          <cell r="EE226" t="str">
            <v>Нижний</v>
          </cell>
          <cell r="EF226">
            <v>0</v>
          </cell>
          <cell r="EG226">
            <v>0</v>
          </cell>
          <cell r="EH226">
            <v>250</v>
          </cell>
          <cell r="EI226">
            <v>4174</v>
          </cell>
          <cell r="EJ226">
            <v>867</v>
          </cell>
          <cell r="EK226">
            <v>1296.9000000000001</v>
          </cell>
          <cell r="EL226">
            <v>498.8</v>
          </cell>
          <cell r="EM226">
            <v>883.1</v>
          </cell>
          <cell r="EN226">
            <v>5</v>
          </cell>
          <cell r="EO226">
            <v>5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680</v>
          </cell>
          <cell r="EV226">
            <v>1</v>
          </cell>
          <cell r="EW226">
            <v>21</v>
          </cell>
          <cell r="EX226">
            <v>1</v>
          </cell>
          <cell r="EY226">
            <v>1</v>
          </cell>
          <cell r="EZ226">
            <v>0</v>
          </cell>
          <cell r="FA226">
            <v>72</v>
          </cell>
          <cell r="FB226">
            <v>1</v>
          </cell>
          <cell r="FC226">
            <v>1</v>
          </cell>
          <cell r="FD226">
            <v>0</v>
          </cell>
          <cell r="FE226">
            <v>0</v>
          </cell>
          <cell r="FF226">
            <v>16.489999999999998</v>
          </cell>
          <cell r="FG226">
            <v>2</v>
          </cell>
          <cell r="FH226">
            <v>2</v>
          </cell>
          <cell r="FI226">
            <v>43466</v>
          </cell>
          <cell r="FJ226">
            <v>15477</v>
          </cell>
          <cell r="FK226">
            <v>15477</v>
          </cell>
          <cell r="FL226">
            <v>19948.8</v>
          </cell>
          <cell r="FM226">
            <v>78.92</v>
          </cell>
          <cell r="FN226">
            <v>6752.5</v>
          </cell>
          <cell r="FO226">
            <v>20257.5</v>
          </cell>
        </row>
        <row r="227">
          <cell r="AI227" t="str">
            <v>Ул. Ухтомского дом 26/2</v>
          </cell>
          <cell r="AJ227">
            <v>20257.5</v>
          </cell>
          <cell r="AK227">
            <v>3816.2</v>
          </cell>
          <cell r="AL227">
            <v>2575.9</v>
          </cell>
          <cell r="AM227">
            <v>2</v>
          </cell>
          <cell r="AN227">
            <v>2</v>
          </cell>
          <cell r="AO227" t="str">
            <v>АО УЖХ Демского района</v>
          </cell>
          <cell r="AP227">
            <v>3557.8</v>
          </cell>
          <cell r="AQ227">
            <v>261.10000000000002</v>
          </cell>
          <cell r="AR227">
            <v>320.39999999999998</v>
          </cell>
          <cell r="AS227">
            <v>276.39999999999998</v>
          </cell>
          <cell r="AT227">
            <v>72</v>
          </cell>
          <cell r="AU227">
            <v>9</v>
          </cell>
          <cell r="AV227">
            <v>193</v>
          </cell>
          <cell r="AW227">
            <v>0</v>
          </cell>
          <cell r="AX227" t="str">
            <v>отказ от услуги</v>
          </cell>
          <cell r="AY227">
            <v>0</v>
          </cell>
          <cell r="AZ227">
            <v>973.8</v>
          </cell>
          <cell r="BA227">
            <v>1757.7</v>
          </cell>
          <cell r="BB227">
            <v>1757.69921875</v>
          </cell>
          <cell r="BC227" t="str">
            <v>Управляющая компания</v>
          </cell>
          <cell r="BD227" t="str">
            <v>1. Жилой дом</v>
          </cell>
          <cell r="BE227">
            <v>31</v>
          </cell>
          <cell r="BF227" t="str">
            <v>2.Чёрный</v>
          </cell>
          <cell r="BG227" t="str">
            <v>2.Чёрный</v>
          </cell>
          <cell r="BH227" t="str">
            <v>3.Водяной</v>
          </cell>
          <cell r="BI227" t="str">
            <v>МУП УИС</v>
          </cell>
          <cell r="BJ227" t="str">
            <v>1. Чугун</v>
          </cell>
          <cell r="BK227">
            <v>2</v>
          </cell>
          <cell r="BL227" t="str">
            <v>8.Сборные ж/б</v>
          </cell>
          <cell r="BM227">
            <v>31048</v>
          </cell>
          <cell r="BN227">
            <v>31048</v>
          </cell>
          <cell r="BO227" t="str">
            <v>Оборудован</v>
          </cell>
          <cell r="BP227" t="str">
            <v>4.Мягк/рулонная</v>
          </cell>
          <cell r="BQ227" t="str">
            <v>2.Плоская</v>
          </cell>
          <cell r="BR227">
            <v>682.7</v>
          </cell>
          <cell r="BS227">
            <v>531.5</v>
          </cell>
          <cell r="BT227">
            <v>531.5</v>
          </cell>
          <cell r="BU227">
            <v>531.5</v>
          </cell>
          <cell r="BV227">
            <v>0</v>
          </cell>
          <cell r="BW227" t="str">
            <v>3.Частный жилищный фонд</v>
          </cell>
          <cell r="BX227">
            <v>72</v>
          </cell>
          <cell r="BY227">
            <v>0</v>
          </cell>
          <cell r="BZ227" t="str">
            <v>2-я</v>
          </cell>
          <cell r="CA227">
            <v>1</v>
          </cell>
          <cell r="CB227">
            <v>27.01</v>
          </cell>
          <cell r="CC227">
            <v>27.009994506835938</v>
          </cell>
          <cell r="CD227">
            <v>3818.9</v>
          </cell>
          <cell r="CE227">
            <v>3818.8984375</v>
          </cell>
          <cell r="CF227" t="str">
            <v>ООО "Дёма Комфорт"</v>
          </cell>
          <cell r="CG227">
            <v>67</v>
          </cell>
          <cell r="CH227">
            <v>5</v>
          </cell>
          <cell r="CI227">
            <v>5</v>
          </cell>
          <cell r="CJ227">
            <v>5</v>
          </cell>
          <cell r="CK227">
            <v>0</v>
          </cell>
          <cell r="CL227">
            <v>1</v>
          </cell>
          <cell r="CM227">
            <v>74</v>
          </cell>
          <cell r="CN227">
            <v>596.79999999999995</v>
          </cell>
          <cell r="CO227">
            <v>596.79999999999995</v>
          </cell>
          <cell r="CP227">
            <v>1128.3</v>
          </cell>
          <cell r="CQ227">
            <v>1128.2998046875</v>
          </cell>
          <cell r="CR227">
            <v>1128.2998046875</v>
          </cell>
          <cell r="CS227">
            <v>1</v>
          </cell>
          <cell r="CT227">
            <v>72</v>
          </cell>
          <cell r="CU227">
            <v>0</v>
          </cell>
          <cell r="CV227">
            <v>67</v>
          </cell>
          <cell r="CW227">
            <v>65</v>
          </cell>
          <cell r="CX227">
            <v>1</v>
          </cell>
          <cell r="CY227">
            <v>1</v>
          </cell>
          <cell r="CZ227">
            <v>15975</v>
          </cell>
          <cell r="DA227" t="str">
            <v>Демский</v>
          </cell>
          <cell r="DB227" t="str">
            <v>3.Сборные ж/б панели</v>
          </cell>
          <cell r="DC227">
            <v>15975</v>
          </cell>
          <cell r="DD227">
            <v>15975</v>
          </cell>
          <cell r="DE227">
            <v>15975</v>
          </cell>
          <cell r="DF227">
            <v>15975</v>
          </cell>
          <cell r="DG227">
            <v>15975</v>
          </cell>
          <cell r="DH227">
            <v>15975</v>
          </cell>
          <cell r="DI227">
            <v>15975</v>
          </cell>
          <cell r="DJ227" t="str">
            <v>АО УЖХ Демского района</v>
          </cell>
          <cell r="DK227">
            <v>15975</v>
          </cell>
          <cell r="DL227">
            <v>15975</v>
          </cell>
          <cell r="DM227">
            <v>9004303</v>
          </cell>
          <cell r="DN227">
            <v>1</v>
          </cell>
          <cell r="DO227" t="str">
            <v>ГВС</v>
          </cell>
          <cell r="DP227" t="str">
            <v>УЖХ</v>
          </cell>
          <cell r="DQ227">
            <v>40261</v>
          </cell>
          <cell r="DR227">
            <v>0</v>
          </cell>
          <cell r="DS227">
            <v>0</v>
          </cell>
          <cell r="DT227">
            <v>72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 t="str">
            <v>4. Независимая схема</v>
          </cell>
          <cell r="EE227" t="str">
            <v>Нижний</v>
          </cell>
          <cell r="EF227">
            <v>0</v>
          </cell>
          <cell r="EG227">
            <v>0</v>
          </cell>
          <cell r="EH227">
            <v>0</v>
          </cell>
          <cell r="EI227">
            <v>1577.7</v>
          </cell>
          <cell r="EJ227">
            <v>262</v>
          </cell>
          <cell r="EK227">
            <v>603.70000000000005</v>
          </cell>
          <cell r="EL227">
            <v>603.69970703125</v>
          </cell>
          <cell r="EM227">
            <v>40.1</v>
          </cell>
          <cell r="EN227">
            <v>3</v>
          </cell>
          <cell r="EO227">
            <v>3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180</v>
          </cell>
          <cell r="EV227">
            <v>1</v>
          </cell>
          <cell r="EW227">
            <v>15</v>
          </cell>
          <cell r="EX227">
            <v>1</v>
          </cell>
          <cell r="EY227">
            <v>1</v>
          </cell>
          <cell r="EZ227">
            <v>0</v>
          </cell>
          <cell r="FA227">
            <v>68</v>
          </cell>
          <cell r="FB227">
            <v>1</v>
          </cell>
          <cell r="FC227">
            <v>1</v>
          </cell>
          <cell r="FD227">
            <v>0</v>
          </cell>
          <cell r="FE227">
            <v>0</v>
          </cell>
          <cell r="FF227">
            <v>18.82</v>
          </cell>
          <cell r="FG227">
            <v>2</v>
          </cell>
          <cell r="FH227">
            <v>2</v>
          </cell>
          <cell r="FI227">
            <v>43739</v>
          </cell>
          <cell r="FJ227">
            <v>15477</v>
          </cell>
          <cell r="FK227">
            <v>15477</v>
          </cell>
          <cell r="FL227">
            <v>5088.5</v>
          </cell>
          <cell r="FM227">
            <v>78.92</v>
          </cell>
          <cell r="FN227">
            <v>1944.72</v>
          </cell>
          <cell r="FO227">
            <v>5834.16</v>
          </cell>
        </row>
        <row r="228">
          <cell r="AI228" t="str">
            <v>Ул. Ухтомского дом 28</v>
          </cell>
          <cell r="AJ228">
            <v>5834.15625</v>
          </cell>
          <cell r="AK228">
            <v>5287.2</v>
          </cell>
          <cell r="AL228">
            <v>3337.8</v>
          </cell>
          <cell r="AM228">
            <v>3</v>
          </cell>
          <cell r="AN228">
            <v>3</v>
          </cell>
          <cell r="AO228" t="str">
            <v>АО УЖХ Демского района</v>
          </cell>
          <cell r="AP228">
            <v>5094.3</v>
          </cell>
          <cell r="AQ228">
            <v>192.1</v>
          </cell>
          <cell r="AR228">
            <v>227.7</v>
          </cell>
          <cell r="AS228">
            <v>284.89999999999998</v>
          </cell>
          <cell r="AT228">
            <v>96</v>
          </cell>
          <cell r="AU228">
            <v>9</v>
          </cell>
          <cell r="AV228">
            <v>255</v>
          </cell>
          <cell r="AW228">
            <v>0</v>
          </cell>
          <cell r="AX228" t="str">
            <v>отказ от услуги</v>
          </cell>
          <cell r="AY228">
            <v>1220.7</v>
          </cell>
          <cell r="AZ228">
            <v>2138.75</v>
          </cell>
          <cell r="BA228">
            <v>3066</v>
          </cell>
          <cell r="BB228">
            <v>3066</v>
          </cell>
          <cell r="BC228" t="str">
            <v>Управляющая компания</v>
          </cell>
          <cell r="BD228" t="str">
            <v>1. Жилой дом</v>
          </cell>
          <cell r="BE228">
            <v>27.8</v>
          </cell>
          <cell r="BF228" t="str">
            <v>2.Чёрный</v>
          </cell>
          <cell r="BG228" t="str">
            <v>2.Чёрный</v>
          </cell>
          <cell r="BH228" t="str">
            <v>3.Водяной</v>
          </cell>
          <cell r="BI228" t="str">
            <v>МУП УИС</v>
          </cell>
          <cell r="BJ228" t="str">
            <v>1. Чугун</v>
          </cell>
          <cell r="BK228">
            <v>3</v>
          </cell>
          <cell r="BL228" t="str">
            <v>2.Кирпич</v>
          </cell>
          <cell r="BM228">
            <v>32509</v>
          </cell>
          <cell r="BN228">
            <v>32509</v>
          </cell>
          <cell r="BO228" t="str">
            <v>Оборудован</v>
          </cell>
          <cell r="BP228" t="str">
            <v>4.Мягк/рулонная</v>
          </cell>
          <cell r="BQ228" t="str">
            <v>2.Плоская</v>
          </cell>
          <cell r="BR228">
            <v>1983</v>
          </cell>
          <cell r="BS228">
            <v>1301.5999999999999</v>
          </cell>
          <cell r="BT228">
            <v>1301.599609375</v>
          </cell>
          <cell r="BU228">
            <v>1301.599609375</v>
          </cell>
          <cell r="BV228">
            <v>0</v>
          </cell>
          <cell r="BW228" t="str">
            <v>3.Частный жилищный фонд</v>
          </cell>
          <cell r="BX228">
            <v>96</v>
          </cell>
          <cell r="BY228">
            <v>0</v>
          </cell>
          <cell r="BZ228" t="str">
            <v>2-я</v>
          </cell>
          <cell r="CA228">
            <v>1</v>
          </cell>
          <cell r="CB228">
            <v>27.01</v>
          </cell>
          <cell r="CC228">
            <v>27.009994506835938</v>
          </cell>
          <cell r="CD228">
            <v>5286.4</v>
          </cell>
          <cell r="CE228">
            <v>5286.3984375</v>
          </cell>
          <cell r="CF228" t="str">
            <v>ООО "Дёма Комфорт"</v>
          </cell>
          <cell r="CG228">
            <v>92</v>
          </cell>
          <cell r="CH228">
            <v>4</v>
          </cell>
          <cell r="CI228">
            <v>4</v>
          </cell>
          <cell r="CJ228">
            <v>4</v>
          </cell>
          <cell r="CK228">
            <v>0</v>
          </cell>
          <cell r="CL228">
            <v>1</v>
          </cell>
          <cell r="CM228">
            <v>96</v>
          </cell>
          <cell r="CN228">
            <v>512.6</v>
          </cell>
          <cell r="CO228">
            <v>512.6</v>
          </cell>
          <cell r="CP228">
            <v>1814.2</v>
          </cell>
          <cell r="CQ228">
            <v>1814.19921875</v>
          </cell>
          <cell r="CR228">
            <v>1814.19921875</v>
          </cell>
          <cell r="CS228">
            <v>3</v>
          </cell>
          <cell r="CT228">
            <v>96</v>
          </cell>
          <cell r="CU228">
            <v>0</v>
          </cell>
          <cell r="CV228">
            <v>85</v>
          </cell>
          <cell r="CW228">
            <v>88</v>
          </cell>
          <cell r="CX228">
            <v>1</v>
          </cell>
          <cell r="CY228">
            <v>1</v>
          </cell>
          <cell r="CZ228">
            <v>30609</v>
          </cell>
          <cell r="DA228" t="str">
            <v>Демский</v>
          </cell>
          <cell r="DB228" t="str">
            <v>3.Сборные ж/б панели</v>
          </cell>
          <cell r="DC228">
            <v>30609</v>
          </cell>
          <cell r="DD228">
            <v>30609</v>
          </cell>
          <cell r="DE228">
            <v>30609</v>
          </cell>
          <cell r="DF228">
            <v>30609</v>
          </cell>
          <cell r="DG228">
            <v>30609</v>
          </cell>
          <cell r="DH228">
            <v>30609</v>
          </cell>
          <cell r="DI228">
            <v>30609</v>
          </cell>
          <cell r="DJ228" t="str">
            <v>АО УЖХ Демского района</v>
          </cell>
          <cell r="DK228">
            <v>30609</v>
          </cell>
          <cell r="DL228">
            <v>30609</v>
          </cell>
          <cell r="DM228">
            <v>18080241</v>
          </cell>
          <cell r="DN228">
            <v>2</v>
          </cell>
          <cell r="DO228" t="str">
            <v>ГВС</v>
          </cell>
          <cell r="DP228" t="str">
            <v>УЖХ</v>
          </cell>
          <cell r="DQ228">
            <v>32895</v>
          </cell>
          <cell r="DR228">
            <v>0</v>
          </cell>
          <cell r="DS228">
            <v>0</v>
          </cell>
          <cell r="DT228">
            <v>96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 t="str">
            <v>4. Независимая схема</v>
          </cell>
          <cell r="EE228" t="str">
            <v>Нижний</v>
          </cell>
          <cell r="EF228">
            <v>0</v>
          </cell>
          <cell r="EG228">
            <v>0</v>
          </cell>
          <cell r="EH228">
            <v>28</v>
          </cell>
          <cell r="EI228">
            <v>2608</v>
          </cell>
          <cell r="EJ228">
            <v>457.5</v>
          </cell>
          <cell r="EK228">
            <v>1367.65</v>
          </cell>
          <cell r="EL228">
            <v>20</v>
          </cell>
          <cell r="EM228">
            <v>224.6</v>
          </cell>
          <cell r="EN228">
            <v>3</v>
          </cell>
          <cell r="EO228">
            <v>3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430</v>
          </cell>
          <cell r="EV228">
            <v>1</v>
          </cell>
          <cell r="EW228">
            <v>9</v>
          </cell>
          <cell r="EX228">
            <v>1</v>
          </cell>
          <cell r="EY228">
            <v>1</v>
          </cell>
          <cell r="EZ228">
            <v>0</v>
          </cell>
          <cell r="FA228">
            <v>60</v>
          </cell>
          <cell r="FB228">
            <v>1</v>
          </cell>
          <cell r="FC228">
            <v>1</v>
          </cell>
          <cell r="FD228">
            <v>0</v>
          </cell>
          <cell r="FE228">
            <v>0</v>
          </cell>
          <cell r="FF228">
            <v>21.59</v>
          </cell>
          <cell r="FG228">
            <v>2</v>
          </cell>
          <cell r="FH228">
            <v>2</v>
          </cell>
          <cell r="FI228">
            <v>44682</v>
          </cell>
          <cell r="FJ228">
            <v>15477</v>
          </cell>
          <cell r="FK228">
            <v>15477</v>
          </cell>
          <cell r="FL228">
            <v>8882.1</v>
          </cell>
          <cell r="FM228">
            <v>78.92</v>
          </cell>
          <cell r="FN228">
            <v>2592.96</v>
          </cell>
          <cell r="FO228">
            <v>7778.88</v>
          </cell>
        </row>
        <row r="229">
          <cell r="AI229" t="str">
            <v>Ул. Ухтомского дом 30</v>
          </cell>
          <cell r="AJ229">
            <v>7778.87890625</v>
          </cell>
          <cell r="AK229">
            <v>5963.2</v>
          </cell>
          <cell r="AL229">
            <v>3698.2</v>
          </cell>
          <cell r="AM229">
            <v>3</v>
          </cell>
          <cell r="AN229">
            <v>3</v>
          </cell>
          <cell r="AO229" t="str">
            <v>АО УЖХ Демского района</v>
          </cell>
          <cell r="AP229">
            <v>5687.02</v>
          </cell>
          <cell r="AQ229">
            <v>276.18</v>
          </cell>
          <cell r="AR229">
            <v>359.4</v>
          </cell>
          <cell r="AS229">
            <v>360.9</v>
          </cell>
          <cell r="AT229">
            <v>109</v>
          </cell>
          <cell r="AU229">
            <v>9</v>
          </cell>
          <cell r="AV229">
            <v>276</v>
          </cell>
          <cell r="AW229">
            <v>0</v>
          </cell>
          <cell r="AX229" t="str">
            <v>отказ от услуги</v>
          </cell>
          <cell r="AY229">
            <v>793.5</v>
          </cell>
          <cell r="AZ229">
            <v>3043.7</v>
          </cell>
          <cell r="BA229">
            <v>2690.3</v>
          </cell>
          <cell r="BB229">
            <v>2690.298828125</v>
          </cell>
          <cell r="BC229" t="str">
            <v>Управляющая компания</v>
          </cell>
          <cell r="BD229" t="str">
            <v>1. Жилой дом</v>
          </cell>
          <cell r="BE229">
            <v>23</v>
          </cell>
          <cell r="BF229" t="str">
            <v>2.Чёрный</v>
          </cell>
          <cell r="BG229" t="str">
            <v>2.Чёрный</v>
          </cell>
          <cell r="BH229" t="str">
            <v>3.Водяной</v>
          </cell>
          <cell r="BI229" t="str">
            <v>МУП УИС</v>
          </cell>
          <cell r="BJ229" t="str">
            <v>1. Чугун</v>
          </cell>
          <cell r="BK229">
            <v>3</v>
          </cell>
          <cell r="BL229" t="str">
            <v>2.Кирпич</v>
          </cell>
          <cell r="BM229">
            <v>34700</v>
          </cell>
          <cell r="BN229">
            <v>34700</v>
          </cell>
          <cell r="BO229" t="str">
            <v>Оборудован</v>
          </cell>
          <cell r="BP229" t="str">
            <v>4.Мягк/рулонная</v>
          </cell>
          <cell r="BQ229" t="str">
            <v>2.Плоская</v>
          </cell>
          <cell r="BR229">
            <v>1278</v>
          </cell>
          <cell r="BS229">
            <v>763.3</v>
          </cell>
          <cell r="BT229">
            <v>763.2998046875</v>
          </cell>
          <cell r="BU229">
            <v>1048</v>
          </cell>
          <cell r="BV229">
            <v>1048</v>
          </cell>
          <cell r="BW229" t="str">
            <v>3.Частный жилищный фонд</v>
          </cell>
          <cell r="BX229">
            <v>109</v>
          </cell>
          <cell r="BY229">
            <v>0</v>
          </cell>
          <cell r="BZ229" t="str">
            <v>2-я</v>
          </cell>
          <cell r="CA229">
            <v>1</v>
          </cell>
          <cell r="CB229">
            <v>27.01</v>
          </cell>
          <cell r="CC229">
            <v>27.009994506835938</v>
          </cell>
          <cell r="CD229">
            <v>5963.2</v>
          </cell>
          <cell r="CE229">
            <v>5963.19921875</v>
          </cell>
          <cell r="CF229" t="str">
            <v>ООО "Дёма Комфорт"</v>
          </cell>
          <cell r="CG229">
            <v>104</v>
          </cell>
          <cell r="CH229">
            <v>5</v>
          </cell>
          <cell r="CI229">
            <v>5</v>
          </cell>
          <cell r="CJ229">
            <v>5</v>
          </cell>
          <cell r="CK229">
            <v>5</v>
          </cell>
          <cell r="CL229">
            <v>0.5</v>
          </cell>
          <cell r="CM229">
            <v>110</v>
          </cell>
          <cell r="CN229">
            <v>720.3</v>
          </cell>
          <cell r="CO229">
            <v>720.3</v>
          </cell>
          <cell r="CP229">
            <v>2531.6</v>
          </cell>
          <cell r="CQ229">
            <v>2531.599609375</v>
          </cell>
          <cell r="CR229">
            <v>2531.599609375</v>
          </cell>
          <cell r="CS229">
            <v>3</v>
          </cell>
          <cell r="CT229">
            <v>109</v>
          </cell>
          <cell r="CU229">
            <v>0</v>
          </cell>
          <cell r="CV229">
            <v>94</v>
          </cell>
          <cell r="CW229">
            <v>100</v>
          </cell>
          <cell r="CX229">
            <v>2</v>
          </cell>
          <cell r="CY229">
            <v>2</v>
          </cell>
          <cell r="CZ229">
            <v>26903</v>
          </cell>
          <cell r="DA229" t="str">
            <v>Демский</v>
          </cell>
          <cell r="DB229" t="str">
            <v>1.Плита монолит/бетон</v>
          </cell>
          <cell r="DC229">
            <v>26903</v>
          </cell>
          <cell r="DD229">
            <v>26903</v>
          </cell>
          <cell r="DE229">
            <v>26903</v>
          </cell>
          <cell r="DF229">
            <v>26903</v>
          </cell>
          <cell r="DG229">
            <v>26903</v>
          </cell>
          <cell r="DH229">
            <v>26903</v>
          </cell>
          <cell r="DI229">
            <v>26903</v>
          </cell>
          <cell r="DJ229" t="str">
            <v>АО УЖХ Демского района</v>
          </cell>
          <cell r="DK229">
            <v>26903</v>
          </cell>
          <cell r="DL229">
            <v>26903</v>
          </cell>
          <cell r="DM229">
            <v>16441354</v>
          </cell>
          <cell r="DN229">
            <v>2</v>
          </cell>
          <cell r="DO229" t="str">
            <v>ГВС</v>
          </cell>
          <cell r="DP229" t="str">
            <v>УЖХ</v>
          </cell>
          <cell r="DQ229">
            <v>35152</v>
          </cell>
          <cell r="DR229">
            <v>0</v>
          </cell>
          <cell r="DS229">
            <v>0</v>
          </cell>
          <cell r="DT229">
            <v>109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 t="str">
            <v>4. Независимая схема</v>
          </cell>
          <cell r="EE229" t="str">
            <v>Нижний</v>
          </cell>
          <cell r="EF229">
            <v>0</v>
          </cell>
          <cell r="EG229">
            <v>0</v>
          </cell>
          <cell r="EH229">
            <v>225</v>
          </cell>
          <cell r="EI229">
            <v>2465.3000000000002</v>
          </cell>
          <cell r="EJ229">
            <v>630.5</v>
          </cell>
          <cell r="EK229">
            <v>1280</v>
          </cell>
          <cell r="EL229">
            <v>787</v>
          </cell>
          <cell r="EM229">
            <v>278.7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  <cell r="EW229">
            <v>0</v>
          </cell>
          <cell r="EX229">
            <v>0</v>
          </cell>
          <cell r="EY229">
            <v>0</v>
          </cell>
          <cell r="EZ229">
            <v>0</v>
          </cell>
          <cell r="FA229">
            <v>67.5</v>
          </cell>
          <cell r="FB229">
            <v>1</v>
          </cell>
          <cell r="FC229">
            <v>1</v>
          </cell>
          <cell r="FD229">
            <v>0</v>
          </cell>
          <cell r="FE229">
            <v>0</v>
          </cell>
          <cell r="FF229">
            <v>18.059999999999999</v>
          </cell>
          <cell r="FG229">
            <v>2</v>
          </cell>
          <cell r="FH229">
            <v>2</v>
          </cell>
          <cell r="FI229">
            <v>43678</v>
          </cell>
          <cell r="FJ229">
            <v>15477</v>
          </cell>
          <cell r="FK229">
            <v>15477</v>
          </cell>
          <cell r="FL229">
            <v>8774.2999999999993</v>
          </cell>
          <cell r="FM229">
            <v>78.92</v>
          </cell>
          <cell r="FN229">
            <v>2944.09</v>
          </cell>
          <cell r="FO229">
            <v>8832.27</v>
          </cell>
        </row>
        <row r="230">
          <cell r="AI230" t="str">
            <v>Ул. Туринская дом 2/а</v>
          </cell>
          <cell r="AJ230">
            <v>8832.265625</v>
          </cell>
          <cell r="AK230">
            <v>210.39</v>
          </cell>
          <cell r="AL230">
            <v>156.19999999999999</v>
          </cell>
          <cell r="AM230">
            <v>1</v>
          </cell>
          <cell r="AN230">
            <v>1</v>
          </cell>
          <cell r="AO230" t="str">
            <v>АО УЖХ Демского района</v>
          </cell>
          <cell r="AP230">
            <v>93.9</v>
          </cell>
          <cell r="AQ230">
            <v>140.19</v>
          </cell>
          <cell r="AR230">
            <v>0</v>
          </cell>
          <cell r="AS230">
            <v>0</v>
          </cell>
          <cell r="AT230">
            <v>6</v>
          </cell>
          <cell r="AU230">
            <v>2</v>
          </cell>
          <cell r="AV230">
            <v>25</v>
          </cell>
          <cell r="AW230">
            <v>25</v>
          </cell>
          <cell r="AX230">
            <v>25</v>
          </cell>
          <cell r="AY230">
            <v>25</v>
          </cell>
          <cell r="AZ230">
            <v>0</v>
          </cell>
          <cell r="BA230">
            <v>855.6</v>
          </cell>
          <cell r="BB230" t="str">
            <v>Пост №907 от 24.07.2020</v>
          </cell>
          <cell r="BC230" t="str">
            <v>Непосредственное</v>
          </cell>
          <cell r="BD230" t="str">
            <v>1. Жилой дом</v>
          </cell>
          <cell r="BE230">
            <v>100</v>
          </cell>
          <cell r="BF230" t="str">
            <v>4.Колонка уличная</v>
          </cell>
          <cell r="BG230">
            <v>100</v>
          </cell>
          <cell r="BH230" t="str">
            <v>3.Водяной</v>
          </cell>
          <cell r="BI230" t="str">
            <v>МУП УИС</v>
          </cell>
          <cell r="BJ230" t="str">
            <v>2. ПВХ</v>
          </cell>
          <cell r="BK230">
            <v>100</v>
          </cell>
          <cell r="BL230" t="str">
            <v>7.Бревенчатый</v>
          </cell>
          <cell r="BM230">
            <v>21186</v>
          </cell>
          <cell r="BN230">
            <v>21186</v>
          </cell>
          <cell r="BO230" t="str">
            <v>Не оборудован</v>
          </cell>
          <cell r="BP230" t="str">
            <v>1.Абсоцемент(шифер)</v>
          </cell>
          <cell r="BQ230" t="str">
            <v>1.Скатная</v>
          </cell>
          <cell r="BR230">
            <v>122</v>
          </cell>
          <cell r="BS230">
            <v>122</v>
          </cell>
          <cell r="BT230">
            <v>122</v>
          </cell>
          <cell r="BU230">
            <v>122</v>
          </cell>
          <cell r="BV230">
            <v>122</v>
          </cell>
          <cell r="BW230" t="str">
            <v>3.Частный жилищный фонд</v>
          </cell>
          <cell r="BX230">
            <v>6</v>
          </cell>
          <cell r="BY230">
            <v>6</v>
          </cell>
          <cell r="BZ230" t="str">
            <v>4-я</v>
          </cell>
          <cell r="CA230">
            <v>1</v>
          </cell>
          <cell r="CB230">
            <v>27.01</v>
          </cell>
          <cell r="CC230">
            <v>27.009994506835938</v>
          </cell>
          <cell r="CD230">
            <v>27.009994506835938</v>
          </cell>
          <cell r="CE230">
            <v>27.009994506835938</v>
          </cell>
          <cell r="CF230" t="str">
            <v>ООО "Дёма Комфорт"</v>
          </cell>
          <cell r="CG230">
            <v>2</v>
          </cell>
          <cell r="CH230">
            <v>4</v>
          </cell>
          <cell r="CI230">
            <v>4</v>
          </cell>
          <cell r="CJ230">
            <v>4</v>
          </cell>
          <cell r="CK230">
            <v>0</v>
          </cell>
          <cell r="CL230">
            <v>0</v>
          </cell>
          <cell r="CM230">
            <v>8</v>
          </cell>
          <cell r="CN230">
            <v>0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  <cell r="CT230">
            <v>6</v>
          </cell>
          <cell r="CU230">
            <v>6</v>
          </cell>
          <cell r="CV230">
            <v>0</v>
          </cell>
          <cell r="CW230">
            <v>0</v>
          </cell>
          <cell r="CX230">
            <v>1</v>
          </cell>
          <cell r="CY230">
            <v>1</v>
          </cell>
          <cell r="CZ230">
            <v>720</v>
          </cell>
          <cell r="DA230" t="str">
            <v>Демский</v>
          </cell>
          <cell r="DB230" t="str">
            <v>2.Деревянные</v>
          </cell>
          <cell r="DC230">
            <v>720</v>
          </cell>
          <cell r="DD230">
            <v>720</v>
          </cell>
          <cell r="DE230">
            <v>720</v>
          </cell>
          <cell r="DF230">
            <v>720</v>
          </cell>
          <cell r="DG230">
            <v>720</v>
          </cell>
          <cell r="DH230">
            <v>720</v>
          </cell>
          <cell r="DI230">
            <v>720</v>
          </cell>
          <cell r="DJ230">
            <v>720</v>
          </cell>
          <cell r="DK230">
            <v>0</v>
          </cell>
          <cell r="DL230">
            <v>0</v>
          </cell>
          <cell r="DM230">
            <v>144095</v>
          </cell>
          <cell r="DN230">
            <v>0</v>
          </cell>
          <cell r="DO230">
            <v>0</v>
          </cell>
          <cell r="DP230" t="str">
            <v>УЖХ</v>
          </cell>
          <cell r="DQ230">
            <v>39507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0</v>
          </cell>
          <cell r="DY230">
            <v>0</v>
          </cell>
          <cell r="DZ230">
            <v>0</v>
          </cell>
          <cell r="EA230">
            <v>0</v>
          </cell>
          <cell r="EB230">
            <v>0</v>
          </cell>
          <cell r="EC230">
            <v>0</v>
          </cell>
          <cell r="ED230" t="str">
            <v>4. Независимая схема</v>
          </cell>
          <cell r="EE230" t="str">
            <v>Нижний</v>
          </cell>
          <cell r="EF230">
            <v>0</v>
          </cell>
          <cell r="EG230">
            <v>0</v>
          </cell>
          <cell r="EH230">
            <v>0</v>
          </cell>
          <cell r="EI230">
            <v>855.6</v>
          </cell>
          <cell r="EJ230">
            <v>0</v>
          </cell>
          <cell r="EK230">
            <v>0</v>
          </cell>
          <cell r="EL230">
            <v>0</v>
          </cell>
          <cell r="EM230">
            <v>0</v>
          </cell>
          <cell r="EN230">
            <v>0</v>
          </cell>
          <cell r="EO230">
            <v>0</v>
          </cell>
          <cell r="EP230">
            <v>0</v>
          </cell>
          <cell r="EQ230">
            <v>0</v>
          </cell>
          <cell r="ER230">
            <v>0</v>
          </cell>
          <cell r="ES230">
            <v>0</v>
          </cell>
          <cell r="ET230">
            <v>0</v>
          </cell>
          <cell r="EU230">
            <v>0</v>
          </cell>
          <cell r="EV230">
            <v>0</v>
          </cell>
          <cell r="EW230">
            <v>0</v>
          </cell>
          <cell r="EX230">
            <v>0</v>
          </cell>
          <cell r="EY230">
            <v>0</v>
          </cell>
          <cell r="EZ230">
            <v>0</v>
          </cell>
          <cell r="FA230">
            <v>0</v>
          </cell>
          <cell r="FB230">
            <v>0</v>
          </cell>
          <cell r="FC230">
            <v>0</v>
          </cell>
          <cell r="FD230">
            <v>0</v>
          </cell>
          <cell r="FE230">
            <v>0</v>
          </cell>
          <cell r="FF230">
            <v>15.56</v>
          </cell>
          <cell r="FG230">
            <v>15.55999755859375</v>
          </cell>
          <cell r="FH230" t="str">
            <v>С УЛК (ЖЭУ)</v>
          </cell>
          <cell r="FI230">
            <v>43647</v>
          </cell>
          <cell r="FJ230">
            <v>15477</v>
          </cell>
          <cell r="FK230">
            <v>11109</v>
          </cell>
          <cell r="FL230">
            <v>210.39</v>
          </cell>
          <cell r="FM230">
            <v>78.92</v>
          </cell>
          <cell r="FN230">
            <v>162.06</v>
          </cell>
          <cell r="FO230">
            <v>486.18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ОЭР"/>
      <sheetName val="СВОД"/>
      <sheetName val="тарифы"/>
      <sheetName val="Центр 34"/>
      <sheetName val="Центр 30"/>
      <sheetName val="Центр 28"/>
      <sheetName val="Центр 22-а"/>
      <sheetName val="Центр 22"/>
      <sheetName val="Центр 18-1"/>
      <sheetName val="Центр 16"/>
      <sheetName val="Центр 14-а"/>
      <sheetName val="Центр 14"/>
      <sheetName val="Центр 12-а"/>
      <sheetName val="Центр 12"/>
      <sheetName val="Центр 10"/>
      <sheetName val="Центр 8"/>
      <sheetName val="Центр 6-1"/>
      <sheetName val="Центр 6"/>
      <sheetName val="Центр 4-а"/>
      <sheetName val="Центр 4"/>
      <sheetName val="Центр 2"/>
      <sheetName val="Центр 1-2"/>
      <sheetName val="-Ухт 13"/>
      <sheetName val="Ухт 5"/>
      <sheetName val="Тал 28-1"/>
      <sheetName val="Тал 28"/>
      <sheetName val="Тал 26-1"/>
      <sheetName val="Тал 26"/>
      <sheetName val="Тал 24-1"/>
      <sheetName val="Тал 24"/>
      <sheetName val="Тал 22"/>
      <sheetName val="Тал 20"/>
      <sheetName val="Тал 18"/>
      <sheetName val="Тал 16"/>
      <sheetName val="Тал 14"/>
      <sheetName val="Тал 7"/>
      <sheetName val="Тал 6"/>
      <sheetName val="Тал 4"/>
      <sheetName val="Тал 3-б"/>
      <sheetName val="Тал 3-а"/>
      <sheetName val="Тал 3-1"/>
      <sheetName val="Тал 2-1"/>
      <sheetName val="Ряд 7-1"/>
      <sheetName val="Ряд 7"/>
      <sheetName val="Ряд 5-1"/>
      <sheetName val="Ряд 5"/>
      <sheetName val="Ряд 3-1"/>
      <sheetName val="Ряд 3"/>
      <sheetName val="Ряд 2"/>
      <sheetName val="Пр 15"/>
      <sheetName val="Пр 13"/>
      <sheetName val="Пр 12"/>
      <sheetName val="Пр 11"/>
      <sheetName val="Пр 10-а"/>
      <sheetName val="Пр 10"/>
      <sheetName val="Пр 8-1"/>
      <sheetName val="Пр 8-а"/>
      <sheetName val="Пр 8"/>
      <sheetName val="Пр 6а"/>
      <sheetName val="Пр 6"/>
      <sheetName val="Пр 4-1"/>
      <sheetName val="Пр 4"/>
      <sheetName val="Пр 3"/>
      <sheetName val="Пр 2"/>
      <sheetName val="Пр 1"/>
      <sheetName val="М.Дж 10"/>
      <sheetName val="М.Дж 8"/>
      <sheetName val="М.Дж 6"/>
      <sheetName val="М.Дж 4"/>
      <sheetName val="Лок 26"/>
      <sheetName val="Лок 6"/>
      <sheetName val="Лок 4"/>
      <sheetName val="Лок 2"/>
      <sheetName val="Лев 23"/>
      <sheetName val="Лев 21а"/>
      <sheetName val="Лев 21"/>
      <sheetName val="Лев 20"/>
      <sheetName val="Лев 19"/>
      <sheetName val="Лев 17"/>
      <sheetName val="Лев 15"/>
      <sheetName val="Лев 14-3"/>
      <sheetName val="Лев 14-2"/>
      <sheetName val="Лев 14-1"/>
      <sheetName val="Лев 13"/>
      <sheetName val="Лев 9а"/>
      <sheetName val="Лев 9"/>
      <sheetName val="Лев 7а"/>
      <sheetName val="Лев 7"/>
      <sheetName val="Лев 5"/>
      <sheetName val="Лев 3"/>
      <sheetName val="Даг 13"/>
      <sheetName val="Даг 11"/>
      <sheetName val="Даг 9-1"/>
      <sheetName val="Даг 9"/>
      <sheetName val="Даг 7"/>
      <sheetName val="Даг 5"/>
      <sheetName val="Ухт 13"/>
      <sheetName val="Лист1"/>
    </sheetNames>
    <sheetDataSet>
      <sheetData sheetId="0" refreshError="1">
        <row r="24">
          <cell r="D24">
            <v>46852.216313061894</v>
          </cell>
        </row>
        <row r="40">
          <cell r="D40">
            <v>89456.46593530981</v>
          </cell>
        </row>
      </sheetData>
      <sheetData sheetId="1" refreshError="1"/>
      <sheetData sheetId="2" refreshError="1">
        <row r="163">
          <cell r="D163">
            <v>5.3054651733843157</v>
          </cell>
        </row>
        <row r="164">
          <cell r="D164">
            <v>1.102472123785452</v>
          </cell>
        </row>
        <row r="170">
          <cell r="D170">
            <v>21.548139947094231</v>
          </cell>
        </row>
        <row r="173">
          <cell r="D173">
            <v>1.9626785508615805</v>
          </cell>
        </row>
        <row r="177">
          <cell r="D177">
            <v>186.91588785046727</v>
          </cell>
        </row>
        <row r="184">
          <cell r="D184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1 тарифы"/>
      <sheetName val="91ОЭР"/>
      <sheetName val="91Лист1"/>
      <sheetName val="91СВОД"/>
      <sheetName val="63тарифы"/>
      <sheetName val="63СВОД"/>
      <sheetName val="34ОЭР"/>
      <sheetName val="34СВОД"/>
      <sheetName val="34тарифы"/>
      <sheetName val="32тарифы"/>
      <sheetName val="32СВОД"/>
      <sheetName val="32 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63">
          <cell r="D163">
            <v>5.3054651733843157</v>
          </cell>
        </row>
        <row r="167">
          <cell r="D167">
            <v>6.0937448826080827</v>
          </cell>
        </row>
        <row r="170">
          <cell r="D170">
            <v>21.548139947094231</v>
          </cell>
        </row>
        <row r="173">
          <cell r="D173">
            <v>1.9626785508615805</v>
          </cell>
        </row>
        <row r="177">
          <cell r="D177">
            <v>186.91588785046727</v>
          </cell>
        </row>
        <row r="184">
          <cell r="D184">
            <v>0</v>
          </cell>
        </row>
        <row r="187">
          <cell r="D187">
            <v>0.67860601054915659</v>
          </cell>
        </row>
      </sheetData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9" tint="0.39997558519241921"/>
  </sheetPr>
  <dimension ref="A1:O220"/>
  <sheetViews>
    <sheetView workbookViewId="0">
      <selection activeCell="D33" sqref="D33"/>
    </sheetView>
  </sheetViews>
  <sheetFormatPr defaultRowHeight="12.75" x14ac:dyDescent="0.2"/>
  <cols>
    <col min="1" max="11" width="4.5703125" style="1" customWidth="1"/>
    <col min="12" max="12" width="36.7109375" style="1" customWidth="1"/>
    <col min="13" max="13" width="39.85546875" style="1" customWidth="1"/>
    <col min="14" max="16384" width="9.140625" style="1"/>
  </cols>
  <sheetData>
    <row r="1" spans="11:15" x14ac:dyDescent="0.2">
      <c r="L1" t="s">
        <v>0</v>
      </c>
      <c r="M1" t="s">
        <v>1</v>
      </c>
      <c r="N1" s="1" t="b">
        <f t="shared" ref="N1:N64" si="0">L:L=M:M</f>
        <v>0</v>
      </c>
    </row>
    <row r="2" spans="11:15" x14ac:dyDescent="0.2">
      <c r="K2" s="1">
        <v>1</v>
      </c>
      <c r="L2" s="1" t="s">
        <v>2</v>
      </c>
      <c r="M2" s="1" t="s">
        <v>2</v>
      </c>
      <c r="N2" s="1" t="b">
        <f t="shared" si="0"/>
        <v>1</v>
      </c>
      <c r="O2" s="1" t="s">
        <v>221</v>
      </c>
    </row>
    <row r="3" spans="11:15" x14ac:dyDescent="0.2">
      <c r="K3" s="1">
        <v>2</v>
      </c>
      <c r="L3" s="1" t="s">
        <v>3</v>
      </c>
      <c r="M3" s="1" t="s">
        <v>3</v>
      </c>
      <c r="N3" s="1" t="b">
        <f t="shared" si="0"/>
        <v>1</v>
      </c>
      <c r="O3" s="1" t="s">
        <v>221</v>
      </c>
    </row>
    <row r="4" spans="11:15" x14ac:dyDescent="0.2">
      <c r="K4" s="1">
        <v>3</v>
      </c>
      <c r="L4" s="1" t="s">
        <v>4</v>
      </c>
      <c r="M4" s="1" t="s">
        <v>4</v>
      </c>
      <c r="N4" s="1" t="b">
        <f t="shared" si="0"/>
        <v>1</v>
      </c>
      <c r="O4" s="1" t="s">
        <v>221</v>
      </c>
    </row>
    <row r="5" spans="11:15" hidden="1" x14ac:dyDescent="0.2">
      <c r="K5" s="1">
        <v>4</v>
      </c>
      <c r="L5" s="1" t="s">
        <v>5</v>
      </c>
      <c r="M5" s="1" t="s">
        <v>5</v>
      </c>
      <c r="N5" s="1" t="b">
        <f t="shared" si="0"/>
        <v>1</v>
      </c>
      <c r="O5" s="1" t="s">
        <v>222</v>
      </c>
    </row>
    <row r="6" spans="11:15" hidden="1" x14ac:dyDescent="0.2">
      <c r="K6" s="1">
        <v>5</v>
      </c>
      <c r="L6" s="1" t="s">
        <v>6</v>
      </c>
      <c r="N6" s="1" t="b">
        <f t="shared" si="0"/>
        <v>0</v>
      </c>
      <c r="O6" s="1" t="s">
        <v>222</v>
      </c>
    </row>
    <row r="7" spans="11:15" hidden="1" x14ac:dyDescent="0.2">
      <c r="K7" s="1">
        <v>6</v>
      </c>
      <c r="L7" s="1" t="s">
        <v>7</v>
      </c>
      <c r="N7" s="1" t="b">
        <f t="shared" si="0"/>
        <v>0</v>
      </c>
      <c r="O7" s="1" t="s">
        <v>222</v>
      </c>
    </row>
    <row r="8" spans="11:15" hidden="1" x14ac:dyDescent="0.2">
      <c r="K8" s="1">
        <v>7</v>
      </c>
      <c r="L8" s="1" t="s">
        <v>8</v>
      </c>
      <c r="N8" s="1" t="b">
        <f t="shared" si="0"/>
        <v>0</v>
      </c>
      <c r="O8" s="1" t="s">
        <v>222</v>
      </c>
    </row>
    <row r="9" spans="11:15" x14ac:dyDescent="0.2">
      <c r="K9" s="1">
        <v>8</v>
      </c>
      <c r="L9" s="1" t="s">
        <v>9</v>
      </c>
      <c r="N9" s="1" t="b">
        <f t="shared" si="0"/>
        <v>0</v>
      </c>
      <c r="O9" s="1" t="s">
        <v>222</v>
      </c>
    </row>
    <row r="10" spans="11:15" x14ac:dyDescent="0.2">
      <c r="K10" s="1">
        <v>9</v>
      </c>
      <c r="L10" s="1" t="s">
        <v>10</v>
      </c>
      <c r="N10" s="1" t="b">
        <f t="shared" si="0"/>
        <v>0</v>
      </c>
      <c r="O10" s="1" t="s">
        <v>222</v>
      </c>
    </row>
    <row r="11" spans="11:15" x14ac:dyDescent="0.2">
      <c r="K11" s="1">
        <v>10</v>
      </c>
      <c r="L11" s="1" t="s">
        <v>11</v>
      </c>
      <c r="N11" s="1" t="b">
        <f t="shared" si="0"/>
        <v>0</v>
      </c>
      <c r="O11" s="1" t="s">
        <v>222</v>
      </c>
    </row>
    <row r="12" spans="11:15" x14ac:dyDescent="0.2">
      <c r="K12" s="1">
        <v>11</v>
      </c>
      <c r="L12" s="1" t="s">
        <v>12</v>
      </c>
      <c r="N12" s="1" t="b">
        <f t="shared" si="0"/>
        <v>0</v>
      </c>
      <c r="O12" s="1" t="s">
        <v>222</v>
      </c>
    </row>
    <row r="13" spans="11:15" x14ac:dyDescent="0.2">
      <c r="K13" s="1">
        <v>12</v>
      </c>
      <c r="L13" s="1" t="s">
        <v>13</v>
      </c>
      <c r="N13" s="1" t="b">
        <f t="shared" si="0"/>
        <v>0</v>
      </c>
      <c r="O13" s="1" t="s">
        <v>221</v>
      </c>
    </row>
    <row r="14" spans="11:15" x14ac:dyDescent="0.2">
      <c r="K14" s="1">
        <v>13</v>
      </c>
      <c r="L14" s="1" t="s">
        <v>14</v>
      </c>
      <c r="N14" s="1" t="b">
        <f t="shared" si="0"/>
        <v>0</v>
      </c>
      <c r="O14" s="1" t="s">
        <v>221</v>
      </c>
    </row>
    <row r="15" spans="11:15" x14ac:dyDescent="0.2">
      <c r="K15" s="1">
        <v>14</v>
      </c>
      <c r="L15" s="1" t="s">
        <v>15</v>
      </c>
      <c r="N15" s="1" t="b">
        <f t="shared" si="0"/>
        <v>0</v>
      </c>
      <c r="O15" s="1" t="s">
        <v>221</v>
      </c>
    </row>
    <row r="16" spans="11:15" x14ac:dyDescent="0.2">
      <c r="K16" s="1">
        <v>15</v>
      </c>
      <c r="L16" s="1" t="s">
        <v>16</v>
      </c>
      <c r="N16" s="1" t="b">
        <f t="shared" si="0"/>
        <v>0</v>
      </c>
      <c r="O16" s="1" t="s">
        <v>221</v>
      </c>
    </row>
    <row r="17" spans="1:15" x14ac:dyDescent="0.2">
      <c r="K17" s="1">
        <v>16</v>
      </c>
      <c r="L17" s="1" t="s">
        <v>17</v>
      </c>
      <c r="N17" s="1" t="b">
        <f t="shared" si="0"/>
        <v>0</v>
      </c>
      <c r="O17" s="1" t="s">
        <v>221</v>
      </c>
    </row>
    <row r="18" spans="1:15" x14ac:dyDescent="0.2">
      <c r="K18" s="1">
        <v>17</v>
      </c>
      <c r="L18" s="1" t="s">
        <v>18</v>
      </c>
      <c r="N18" s="1" t="b">
        <f t="shared" si="0"/>
        <v>0</v>
      </c>
      <c r="O18" s="1" t="s">
        <v>221</v>
      </c>
    </row>
    <row r="19" spans="1:15" x14ac:dyDescent="0.2">
      <c r="K19" s="1">
        <v>18</v>
      </c>
      <c r="L19" s="1" t="s">
        <v>19</v>
      </c>
      <c r="M19" s="1" t="s">
        <v>19</v>
      </c>
      <c r="N19" s="1" t="b">
        <f t="shared" si="0"/>
        <v>1</v>
      </c>
      <c r="O19" s="1" t="s">
        <v>221</v>
      </c>
    </row>
    <row r="20" spans="1:15" x14ac:dyDescent="0.2">
      <c r="K20" s="1">
        <v>19</v>
      </c>
      <c r="L20" s="1" t="s">
        <v>20</v>
      </c>
      <c r="M20" s="1" t="s">
        <v>20</v>
      </c>
      <c r="N20" s="1" t="b">
        <f t="shared" si="0"/>
        <v>1</v>
      </c>
      <c r="O20" s="1" t="s">
        <v>221</v>
      </c>
    </row>
    <row r="21" spans="1:15" x14ac:dyDescent="0.2">
      <c r="K21" s="1">
        <v>20</v>
      </c>
      <c r="L21" s="1" t="s">
        <v>21</v>
      </c>
      <c r="M21" s="1" t="s">
        <v>21</v>
      </c>
      <c r="N21" s="1" t="b">
        <f t="shared" si="0"/>
        <v>1</v>
      </c>
      <c r="O21" s="1" t="s">
        <v>221</v>
      </c>
    </row>
    <row r="22" spans="1:15" x14ac:dyDescent="0.2">
      <c r="K22" s="1">
        <v>21</v>
      </c>
      <c r="L22" s="1" t="s">
        <v>22</v>
      </c>
      <c r="N22" s="1" t="b">
        <f t="shared" si="0"/>
        <v>0</v>
      </c>
      <c r="O22" s="1" t="s">
        <v>221</v>
      </c>
    </row>
    <row r="23" spans="1:15" x14ac:dyDescent="0.2">
      <c r="K23" s="1">
        <v>22</v>
      </c>
      <c r="L23" s="1" t="s">
        <v>23</v>
      </c>
      <c r="M23" s="1" t="s">
        <v>23</v>
      </c>
      <c r="N23" s="1" t="b">
        <f t="shared" si="0"/>
        <v>1</v>
      </c>
      <c r="O23" s="1" t="s">
        <v>221</v>
      </c>
    </row>
    <row r="24" spans="1:15" x14ac:dyDescent="0.2">
      <c r="A24" s="183"/>
      <c r="B24" s="183"/>
      <c r="K24" s="1">
        <v>23</v>
      </c>
      <c r="L24" s="1" t="s">
        <v>24</v>
      </c>
      <c r="M24" s="1" t="s">
        <v>24</v>
      </c>
      <c r="N24" s="1" t="b">
        <f t="shared" si="0"/>
        <v>1</v>
      </c>
      <c r="O24" s="1" t="s">
        <v>221</v>
      </c>
    </row>
    <row r="25" spans="1:15" x14ac:dyDescent="0.2">
      <c r="A25" s="183"/>
      <c r="B25" s="183"/>
      <c r="K25" s="1">
        <v>24</v>
      </c>
      <c r="L25" s="1" t="s">
        <v>25</v>
      </c>
      <c r="N25" s="1" t="b">
        <f t="shared" si="0"/>
        <v>0</v>
      </c>
      <c r="O25" s="1" t="s">
        <v>221</v>
      </c>
    </row>
    <row r="26" spans="1:15" x14ac:dyDescent="0.2">
      <c r="K26" s="1">
        <v>25</v>
      </c>
      <c r="L26" s="1" t="s">
        <v>26</v>
      </c>
      <c r="M26" s="1" t="s">
        <v>26</v>
      </c>
      <c r="N26" s="1" t="b">
        <f t="shared" si="0"/>
        <v>1</v>
      </c>
      <c r="O26" s="1" t="s">
        <v>221</v>
      </c>
    </row>
    <row r="27" spans="1:15" x14ac:dyDescent="0.2">
      <c r="K27" s="1">
        <v>26</v>
      </c>
      <c r="L27" s="1" t="s">
        <v>27</v>
      </c>
      <c r="M27" s="1" t="s">
        <v>27</v>
      </c>
      <c r="N27" s="1" t="b">
        <f t="shared" si="0"/>
        <v>1</v>
      </c>
      <c r="O27" s="1" t="s">
        <v>222</v>
      </c>
    </row>
    <row r="28" spans="1:15" x14ac:dyDescent="0.2">
      <c r="K28" s="1">
        <v>27</v>
      </c>
      <c r="L28" s="1" t="s">
        <v>28</v>
      </c>
      <c r="M28" s="1" t="s">
        <v>28</v>
      </c>
      <c r="N28" s="1" t="b">
        <f t="shared" si="0"/>
        <v>1</v>
      </c>
      <c r="O28" s="1" t="s">
        <v>221</v>
      </c>
    </row>
    <row r="29" spans="1:15" x14ac:dyDescent="0.2">
      <c r="K29" s="1">
        <v>28</v>
      </c>
      <c r="L29" s="1" t="s">
        <v>29</v>
      </c>
      <c r="M29" s="1" t="s">
        <v>29</v>
      </c>
      <c r="N29" s="1" t="b">
        <f t="shared" si="0"/>
        <v>1</v>
      </c>
      <c r="O29" s="1" t="s">
        <v>221</v>
      </c>
    </row>
    <row r="30" spans="1:15" x14ac:dyDescent="0.2">
      <c r="K30" s="1">
        <v>29</v>
      </c>
      <c r="L30" s="1" t="s">
        <v>30</v>
      </c>
      <c r="M30" s="1" t="s">
        <v>30</v>
      </c>
      <c r="N30" s="1" t="b">
        <f t="shared" si="0"/>
        <v>1</v>
      </c>
      <c r="O30" s="1" t="s">
        <v>221</v>
      </c>
    </row>
    <row r="31" spans="1:15" hidden="1" x14ac:dyDescent="0.2">
      <c r="K31" s="1">
        <v>30</v>
      </c>
      <c r="L31" s="1" t="s">
        <v>31</v>
      </c>
      <c r="M31" s="1" t="s">
        <v>31</v>
      </c>
      <c r="N31" s="1" t="b">
        <f t="shared" si="0"/>
        <v>1</v>
      </c>
      <c r="O31" s="1" t="s">
        <v>222</v>
      </c>
    </row>
    <row r="32" spans="1:15" x14ac:dyDescent="0.2">
      <c r="K32" s="1">
        <v>31</v>
      </c>
      <c r="L32" s="1" t="s">
        <v>32</v>
      </c>
      <c r="M32" s="1" t="s">
        <v>32</v>
      </c>
      <c r="N32" s="1" t="b">
        <f t="shared" si="0"/>
        <v>1</v>
      </c>
      <c r="O32" s="1" t="s">
        <v>221</v>
      </c>
    </row>
    <row r="33" spans="11:15" x14ac:dyDescent="0.2">
      <c r="K33" s="1">
        <v>32</v>
      </c>
      <c r="L33" s="1" t="s">
        <v>33</v>
      </c>
      <c r="M33" s="1" t="s">
        <v>33</v>
      </c>
      <c r="N33" s="1" t="b">
        <f t="shared" si="0"/>
        <v>1</v>
      </c>
      <c r="O33" s="1" t="s">
        <v>221</v>
      </c>
    </row>
    <row r="34" spans="11:15" x14ac:dyDescent="0.2">
      <c r="K34" s="1">
        <v>33</v>
      </c>
      <c r="L34" s="1" t="s">
        <v>34</v>
      </c>
      <c r="M34" s="1" t="s">
        <v>34</v>
      </c>
      <c r="N34" s="1" t="b">
        <f t="shared" si="0"/>
        <v>1</v>
      </c>
      <c r="O34" s="1" t="s">
        <v>221</v>
      </c>
    </row>
    <row r="35" spans="11:15" x14ac:dyDescent="0.2">
      <c r="K35" s="1">
        <v>34</v>
      </c>
      <c r="L35" s="1" t="s">
        <v>35</v>
      </c>
      <c r="M35" s="1" t="s">
        <v>35</v>
      </c>
      <c r="N35" s="1" t="b">
        <f t="shared" si="0"/>
        <v>1</v>
      </c>
      <c r="O35" s="1" t="s">
        <v>221</v>
      </c>
    </row>
    <row r="36" spans="11:15" x14ac:dyDescent="0.2">
      <c r="K36" s="1">
        <v>35</v>
      </c>
      <c r="L36" s="1" t="s">
        <v>36</v>
      </c>
      <c r="M36" s="1" t="s">
        <v>36</v>
      </c>
      <c r="N36" s="1" t="b">
        <f t="shared" si="0"/>
        <v>1</v>
      </c>
      <c r="O36" s="1" t="s">
        <v>221</v>
      </c>
    </row>
    <row r="37" spans="11:15" hidden="1" x14ac:dyDescent="0.2">
      <c r="K37" s="1">
        <v>36</v>
      </c>
      <c r="L37" s="1" t="s">
        <v>37</v>
      </c>
      <c r="N37" s="1" t="b">
        <f t="shared" si="0"/>
        <v>0</v>
      </c>
      <c r="O37" s="1" t="s">
        <v>222</v>
      </c>
    </row>
    <row r="38" spans="11:15" hidden="1" x14ac:dyDescent="0.2">
      <c r="K38" s="1">
        <v>37</v>
      </c>
      <c r="L38" s="1" t="s">
        <v>38</v>
      </c>
      <c r="M38" s="1" t="s">
        <v>38</v>
      </c>
      <c r="N38" s="1" t="b">
        <f t="shared" si="0"/>
        <v>1</v>
      </c>
      <c r="O38" s="1" t="s">
        <v>222</v>
      </c>
    </row>
    <row r="39" spans="11:15" hidden="1" x14ac:dyDescent="0.2">
      <c r="K39" s="1">
        <v>38</v>
      </c>
      <c r="L39" s="1" t="s">
        <v>39</v>
      </c>
      <c r="N39" s="1" t="b">
        <f t="shared" si="0"/>
        <v>0</v>
      </c>
      <c r="O39" s="1" t="s">
        <v>222</v>
      </c>
    </row>
    <row r="40" spans="11:15" hidden="1" x14ac:dyDescent="0.2">
      <c r="K40" s="1">
        <v>39</v>
      </c>
      <c r="L40" s="1" t="s">
        <v>40</v>
      </c>
      <c r="N40" s="1" t="b">
        <f t="shared" si="0"/>
        <v>0</v>
      </c>
      <c r="O40" s="1" t="s">
        <v>221</v>
      </c>
    </row>
    <row r="41" spans="11:15" hidden="1" x14ac:dyDescent="0.2">
      <c r="K41" s="1">
        <v>40</v>
      </c>
      <c r="L41" s="1" t="s">
        <v>41</v>
      </c>
      <c r="N41" s="1" t="b">
        <f t="shared" si="0"/>
        <v>0</v>
      </c>
      <c r="O41" s="1" t="s">
        <v>222</v>
      </c>
    </row>
    <row r="42" spans="11:15" x14ac:dyDescent="0.2">
      <c r="K42" s="1">
        <v>41</v>
      </c>
      <c r="L42" s="1" t="s">
        <v>42</v>
      </c>
      <c r="M42" s="1" t="s">
        <v>42</v>
      </c>
      <c r="N42" s="1" t="b">
        <f t="shared" si="0"/>
        <v>1</v>
      </c>
      <c r="O42" s="1" t="s">
        <v>221</v>
      </c>
    </row>
    <row r="43" spans="11:15" hidden="1" x14ac:dyDescent="0.2">
      <c r="K43" s="1">
        <v>42</v>
      </c>
      <c r="L43" s="1" t="s">
        <v>43</v>
      </c>
      <c r="N43" s="1" t="b">
        <f t="shared" si="0"/>
        <v>0</v>
      </c>
      <c r="O43" s="1" t="s">
        <v>221</v>
      </c>
    </row>
    <row r="44" spans="11:15" x14ac:dyDescent="0.2">
      <c r="K44" s="1">
        <v>43</v>
      </c>
      <c r="L44" s="1" t="s">
        <v>44</v>
      </c>
      <c r="M44" s="1" t="s">
        <v>44</v>
      </c>
      <c r="N44" s="1" t="b">
        <f t="shared" si="0"/>
        <v>1</v>
      </c>
      <c r="O44" s="1" t="s">
        <v>221</v>
      </c>
    </row>
    <row r="45" spans="11:15" hidden="1" x14ac:dyDescent="0.2">
      <c r="K45" s="1">
        <v>44</v>
      </c>
      <c r="L45" s="1" t="s">
        <v>45</v>
      </c>
      <c r="N45" s="1" t="b">
        <f t="shared" si="0"/>
        <v>0</v>
      </c>
      <c r="O45" s="1" t="s">
        <v>222</v>
      </c>
    </row>
    <row r="46" spans="11:15" hidden="1" x14ac:dyDescent="0.2">
      <c r="K46" s="1">
        <v>45</v>
      </c>
      <c r="L46" s="1" t="s">
        <v>46</v>
      </c>
      <c r="M46" s="1" t="s">
        <v>46</v>
      </c>
      <c r="N46" s="1" t="b">
        <f t="shared" si="0"/>
        <v>1</v>
      </c>
      <c r="O46" s="1" t="s">
        <v>222</v>
      </c>
    </row>
    <row r="47" spans="11:15" hidden="1" x14ac:dyDescent="0.2">
      <c r="K47" s="1">
        <v>46</v>
      </c>
      <c r="L47" s="1" t="s">
        <v>47</v>
      </c>
      <c r="N47" s="1" t="b">
        <f t="shared" si="0"/>
        <v>0</v>
      </c>
      <c r="O47" s="1" t="s">
        <v>221</v>
      </c>
    </row>
    <row r="48" spans="11:15" hidden="1" x14ac:dyDescent="0.2">
      <c r="K48" s="1">
        <v>47</v>
      </c>
      <c r="L48" s="1" t="s">
        <v>48</v>
      </c>
      <c r="N48" s="1" t="b">
        <f t="shared" si="0"/>
        <v>0</v>
      </c>
      <c r="O48" s="1" t="s">
        <v>222</v>
      </c>
    </row>
    <row r="49" spans="11:15" hidden="1" x14ac:dyDescent="0.2">
      <c r="K49" s="1">
        <v>48</v>
      </c>
      <c r="L49" s="1" t="s">
        <v>49</v>
      </c>
      <c r="N49" s="1" t="b">
        <f t="shared" si="0"/>
        <v>0</v>
      </c>
      <c r="O49" s="1" t="s">
        <v>222</v>
      </c>
    </row>
    <row r="50" spans="11:15" hidden="1" x14ac:dyDescent="0.2">
      <c r="K50" s="1">
        <v>49</v>
      </c>
      <c r="L50" s="1" t="s">
        <v>50</v>
      </c>
      <c r="N50" s="1" t="b">
        <f t="shared" si="0"/>
        <v>0</v>
      </c>
      <c r="O50" s="1" t="s">
        <v>222</v>
      </c>
    </row>
    <row r="51" spans="11:15" hidden="1" x14ac:dyDescent="0.2">
      <c r="K51" s="1">
        <v>50</v>
      </c>
      <c r="L51" s="1" t="s">
        <v>51</v>
      </c>
      <c r="M51" s="1" t="s">
        <v>51</v>
      </c>
      <c r="N51" s="1" t="b">
        <f t="shared" si="0"/>
        <v>1</v>
      </c>
      <c r="O51" s="1" t="s">
        <v>222</v>
      </c>
    </row>
    <row r="52" spans="11:15" hidden="1" x14ac:dyDescent="0.2">
      <c r="K52" s="1">
        <v>51</v>
      </c>
      <c r="L52" s="1" t="s">
        <v>52</v>
      </c>
      <c r="N52" s="1" t="b">
        <f t="shared" si="0"/>
        <v>0</v>
      </c>
      <c r="O52" s="1" t="s">
        <v>222</v>
      </c>
    </row>
    <row r="53" spans="11:15" hidden="1" x14ac:dyDescent="0.2">
      <c r="K53" s="1">
        <v>52</v>
      </c>
      <c r="L53" s="1" t="s">
        <v>53</v>
      </c>
      <c r="N53" s="1" t="b">
        <f t="shared" si="0"/>
        <v>0</v>
      </c>
      <c r="O53" s="1" t="s">
        <v>222</v>
      </c>
    </row>
    <row r="54" spans="11:15" hidden="1" x14ac:dyDescent="0.2">
      <c r="K54" s="1">
        <v>53</v>
      </c>
      <c r="L54" s="1" t="s">
        <v>54</v>
      </c>
      <c r="N54" s="1" t="b">
        <f t="shared" si="0"/>
        <v>0</v>
      </c>
      <c r="O54" s="1" t="s">
        <v>222</v>
      </c>
    </row>
    <row r="55" spans="11:15" hidden="1" x14ac:dyDescent="0.2">
      <c r="K55" s="1">
        <v>54</v>
      </c>
      <c r="L55" s="1" t="s">
        <v>55</v>
      </c>
      <c r="N55" s="1" t="b">
        <f t="shared" si="0"/>
        <v>0</v>
      </c>
      <c r="O55" s="1" t="s">
        <v>222</v>
      </c>
    </row>
    <row r="56" spans="11:15" hidden="1" x14ac:dyDescent="0.2">
      <c r="K56" s="1">
        <v>55</v>
      </c>
      <c r="L56" s="1" t="s">
        <v>56</v>
      </c>
      <c r="M56" s="1" t="s">
        <v>56</v>
      </c>
      <c r="N56" s="1" t="b">
        <f t="shared" si="0"/>
        <v>1</v>
      </c>
      <c r="O56" s="1" t="s">
        <v>222</v>
      </c>
    </row>
    <row r="57" spans="11:15" x14ac:dyDescent="0.2">
      <c r="K57" s="1">
        <v>56</v>
      </c>
      <c r="L57" s="1" t="s">
        <v>57</v>
      </c>
      <c r="M57" s="1" t="s">
        <v>57</v>
      </c>
      <c r="N57" s="1" t="b">
        <f t="shared" si="0"/>
        <v>1</v>
      </c>
      <c r="O57" s="1" t="s">
        <v>221</v>
      </c>
    </row>
    <row r="58" spans="11:15" hidden="1" x14ac:dyDescent="0.2">
      <c r="K58" s="1">
        <v>57</v>
      </c>
      <c r="L58" s="1" t="s">
        <v>58</v>
      </c>
      <c r="N58" s="1" t="b">
        <f t="shared" si="0"/>
        <v>0</v>
      </c>
      <c r="O58" s="1" t="s">
        <v>222</v>
      </c>
    </row>
    <row r="59" spans="11:15" x14ac:dyDescent="0.2">
      <c r="K59" s="1">
        <v>58</v>
      </c>
      <c r="L59" s="1" t="s">
        <v>59</v>
      </c>
      <c r="M59" s="1" t="s">
        <v>59</v>
      </c>
      <c r="N59" s="1" t="b">
        <f t="shared" si="0"/>
        <v>1</v>
      </c>
      <c r="O59" s="1" t="s">
        <v>221</v>
      </c>
    </row>
    <row r="60" spans="11:15" hidden="1" x14ac:dyDescent="0.2">
      <c r="K60" s="1">
        <v>59</v>
      </c>
      <c r="L60" s="1" t="s">
        <v>60</v>
      </c>
      <c r="M60" s="1" t="s">
        <v>60</v>
      </c>
      <c r="N60" s="1" t="b">
        <f t="shared" si="0"/>
        <v>1</v>
      </c>
      <c r="O60" s="1" t="s">
        <v>222</v>
      </c>
    </row>
    <row r="61" spans="11:15" hidden="1" x14ac:dyDescent="0.2">
      <c r="K61" s="1">
        <v>60</v>
      </c>
      <c r="L61" s="1" t="s">
        <v>61</v>
      </c>
      <c r="N61" s="1" t="b">
        <f t="shared" si="0"/>
        <v>0</v>
      </c>
      <c r="O61" s="1" t="s">
        <v>222</v>
      </c>
    </row>
    <row r="62" spans="11:15" hidden="1" x14ac:dyDescent="0.2">
      <c r="K62" s="1">
        <v>61</v>
      </c>
      <c r="L62" s="1" t="s">
        <v>62</v>
      </c>
      <c r="N62" s="1" t="b">
        <f t="shared" si="0"/>
        <v>0</v>
      </c>
      <c r="O62" s="1" t="s">
        <v>222</v>
      </c>
    </row>
    <row r="63" spans="11:15" hidden="1" x14ac:dyDescent="0.2">
      <c r="K63" s="1">
        <v>62</v>
      </c>
      <c r="L63" s="1" t="s">
        <v>63</v>
      </c>
      <c r="M63" s="1" t="s">
        <v>63</v>
      </c>
      <c r="N63" s="1" t="b">
        <f t="shared" si="0"/>
        <v>1</v>
      </c>
      <c r="O63" s="1" t="s">
        <v>222</v>
      </c>
    </row>
    <row r="64" spans="11:15" hidden="1" x14ac:dyDescent="0.2">
      <c r="K64" s="1">
        <v>63</v>
      </c>
      <c r="L64" s="1" t="s">
        <v>64</v>
      </c>
      <c r="M64" s="1" t="s">
        <v>64</v>
      </c>
      <c r="N64" s="1" t="b">
        <f t="shared" si="0"/>
        <v>1</v>
      </c>
      <c r="O64" s="1" t="s">
        <v>222</v>
      </c>
    </row>
    <row r="65" spans="11:15" hidden="1" x14ac:dyDescent="0.2">
      <c r="K65" s="1">
        <v>64</v>
      </c>
      <c r="L65" s="1" t="s">
        <v>65</v>
      </c>
      <c r="M65" s="1" t="s">
        <v>65</v>
      </c>
      <c r="N65" s="1" t="b">
        <f t="shared" ref="N65:N128" si="1">L:L=M:M</f>
        <v>1</v>
      </c>
      <c r="O65" s="1" t="s">
        <v>222</v>
      </c>
    </row>
    <row r="66" spans="11:15" hidden="1" x14ac:dyDescent="0.2">
      <c r="K66" s="1">
        <v>65</v>
      </c>
      <c r="L66" s="1" t="s">
        <v>66</v>
      </c>
      <c r="M66" s="1" t="s">
        <v>66</v>
      </c>
      <c r="N66" s="1" t="b">
        <f t="shared" si="1"/>
        <v>1</v>
      </c>
      <c r="O66" s="1" t="s">
        <v>222</v>
      </c>
    </row>
    <row r="67" spans="11:15" hidden="1" x14ac:dyDescent="0.2">
      <c r="K67" s="1">
        <v>66</v>
      </c>
      <c r="L67" s="1" t="s">
        <v>67</v>
      </c>
      <c r="N67" s="1" t="b">
        <f t="shared" si="1"/>
        <v>0</v>
      </c>
      <c r="O67" s="1" t="s">
        <v>222</v>
      </c>
    </row>
    <row r="68" spans="11:15" hidden="1" x14ac:dyDescent="0.2">
      <c r="K68" s="1">
        <v>67</v>
      </c>
      <c r="L68" s="1" t="s">
        <v>68</v>
      </c>
      <c r="N68" s="1" t="b">
        <f t="shared" si="1"/>
        <v>0</v>
      </c>
      <c r="O68" s="1" t="s">
        <v>222</v>
      </c>
    </row>
    <row r="69" spans="11:15" hidden="1" x14ac:dyDescent="0.2">
      <c r="K69" s="1">
        <v>68</v>
      </c>
      <c r="L69" s="1" t="s">
        <v>69</v>
      </c>
      <c r="N69" s="1" t="b">
        <f t="shared" si="1"/>
        <v>0</v>
      </c>
      <c r="O69" s="1" t="s">
        <v>221</v>
      </c>
    </row>
    <row r="70" spans="11:15" hidden="1" x14ac:dyDescent="0.2">
      <c r="K70" s="1">
        <v>69</v>
      </c>
      <c r="L70" s="1" t="s">
        <v>70</v>
      </c>
      <c r="N70" s="1" t="b">
        <f t="shared" si="1"/>
        <v>0</v>
      </c>
      <c r="O70" s="1" t="s">
        <v>221</v>
      </c>
    </row>
    <row r="71" spans="11:15" hidden="1" x14ac:dyDescent="0.2">
      <c r="K71" s="1">
        <v>70</v>
      </c>
      <c r="L71" s="1" t="s">
        <v>71</v>
      </c>
      <c r="N71" s="1" t="b">
        <f t="shared" si="1"/>
        <v>0</v>
      </c>
      <c r="O71" s="1" t="s">
        <v>222</v>
      </c>
    </row>
    <row r="72" spans="11:15" hidden="1" x14ac:dyDescent="0.2">
      <c r="K72" s="1">
        <v>71</v>
      </c>
      <c r="L72" s="1" t="s">
        <v>72</v>
      </c>
      <c r="N72" s="1" t="b">
        <f t="shared" si="1"/>
        <v>0</v>
      </c>
      <c r="O72" s="1" t="s">
        <v>221</v>
      </c>
    </row>
    <row r="73" spans="11:15" hidden="1" x14ac:dyDescent="0.2">
      <c r="K73" s="1">
        <v>72</v>
      </c>
      <c r="L73" s="1" t="s">
        <v>73</v>
      </c>
      <c r="N73" s="1" t="b">
        <f t="shared" si="1"/>
        <v>0</v>
      </c>
      <c r="O73" s="1" t="s">
        <v>222</v>
      </c>
    </row>
    <row r="74" spans="11:15" hidden="1" x14ac:dyDescent="0.2">
      <c r="K74" s="1">
        <v>73</v>
      </c>
      <c r="L74" s="1" t="s">
        <v>74</v>
      </c>
      <c r="N74" s="1" t="b">
        <f t="shared" si="1"/>
        <v>0</v>
      </c>
      <c r="O74" s="1" t="s">
        <v>222</v>
      </c>
    </row>
    <row r="75" spans="11:15" hidden="1" x14ac:dyDescent="0.2">
      <c r="K75" s="1">
        <v>74</v>
      </c>
      <c r="L75" s="1" t="s">
        <v>75</v>
      </c>
      <c r="N75" s="1" t="b">
        <f t="shared" si="1"/>
        <v>0</v>
      </c>
      <c r="O75" s="1" t="s">
        <v>222</v>
      </c>
    </row>
    <row r="76" spans="11:15" hidden="1" x14ac:dyDescent="0.2">
      <c r="K76" s="1">
        <v>75</v>
      </c>
      <c r="L76" s="1" t="s">
        <v>76</v>
      </c>
      <c r="N76" s="1" t="b">
        <f t="shared" si="1"/>
        <v>0</v>
      </c>
      <c r="O76" s="1" t="s">
        <v>222</v>
      </c>
    </row>
    <row r="77" spans="11:15" x14ac:dyDescent="0.2">
      <c r="K77" s="1">
        <v>76</v>
      </c>
      <c r="L77" s="1" t="s">
        <v>77</v>
      </c>
      <c r="M77" s="1" t="s">
        <v>77</v>
      </c>
      <c r="N77" s="1" t="b">
        <f t="shared" si="1"/>
        <v>1</v>
      </c>
      <c r="O77" s="1" t="s">
        <v>221</v>
      </c>
    </row>
    <row r="78" spans="11:15" x14ac:dyDescent="0.2">
      <c r="K78" s="1">
        <v>77</v>
      </c>
      <c r="L78" s="1" t="s">
        <v>78</v>
      </c>
      <c r="M78" s="1" t="s">
        <v>78</v>
      </c>
      <c r="N78" s="1" t="b">
        <f t="shared" si="1"/>
        <v>1</v>
      </c>
      <c r="O78" s="1" t="s">
        <v>221</v>
      </c>
    </row>
    <row r="79" spans="11:15" x14ac:dyDescent="0.2">
      <c r="K79" s="1">
        <v>78</v>
      </c>
      <c r="L79" s="1" t="s">
        <v>79</v>
      </c>
      <c r="M79" s="1" t="s">
        <v>79</v>
      </c>
      <c r="N79" s="1" t="b">
        <f t="shared" si="1"/>
        <v>1</v>
      </c>
      <c r="O79" s="1" t="s">
        <v>221</v>
      </c>
    </row>
    <row r="80" spans="11:15" x14ac:dyDescent="0.2">
      <c r="K80" s="1">
        <v>79</v>
      </c>
      <c r="L80" s="1" t="s">
        <v>80</v>
      </c>
      <c r="M80" s="1" t="s">
        <v>80</v>
      </c>
      <c r="N80" s="1" t="b">
        <f t="shared" si="1"/>
        <v>1</v>
      </c>
      <c r="O80" s="1" t="s">
        <v>221</v>
      </c>
    </row>
    <row r="81" spans="11:15" x14ac:dyDescent="0.2">
      <c r="K81" s="1">
        <v>80</v>
      </c>
      <c r="L81" s="1" t="s">
        <v>81</v>
      </c>
      <c r="M81" s="1" t="s">
        <v>81</v>
      </c>
      <c r="N81" s="1" t="b">
        <f t="shared" si="1"/>
        <v>1</v>
      </c>
      <c r="O81" s="1" t="s">
        <v>221</v>
      </c>
    </row>
    <row r="82" spans="11:15" x14ac:dyDescent="0.2">
      <c r="K82" s="1">
        <v>81</v>
      </c>
      <c r="L82" s="1" t="s">
        <v>82</v>
      </c>
      <c r="M82" s="1" t="s">
        <v>82</v>
      </c>
      <c r="N82" s="1" t="b">
        <f t="shared" si="1"/>
        <v>1</v>
      </c>
      <c r="O82" s="1" t="s">
        <v>221</v>
      </c>
    </row>
    <row r="83" spans="11:15" x14ac:dyDescent="0.2">
      <c r="K83" s="1">
        <v>82</v>
      </c>
      <c r="L83" s="1" t="s">
        <v>83</v>
      </c>
      <c r="M83" s="1" t="s">
        <v>83</v>
      </c>
      <c r="N83" s="1" t="b">
        <f t="shared" si="1"/>
        <v>1</v>
      </c>
      <c r="O83" s="1" t="s">
        <v>221</v>
      </c>
    </row>
    <row r="84" spans="11:15" x14ac:dyDescent="0.2">
      <c r="K84" s="1">
        <v>83</v>
      </c>
      <c r="L84" s="1" t="s">
        <v>84</v>
      </c>
      <c r="M84" s="1" t="s">
        <v>84</v>
      </c>
      <c r="N84" s="1" t="b">
        <f t="shared" si="1"/>
        <v>1</v>
      </c>
      <c r="O84" s="1" t="s">
        <v>221</v>
      </c>
    </row>
    <row r="85" spans="11:15" x14ac:dyDescent="0.2">
      <c r="K85" s="1">
        <v>84</v>
      </c>
      <c r="L85" s="1" t="s">
        <v>85</v>
      </c>
      <c r="M85" s="1" t="s">
        <v>85</v>
      </c>
      <c r="N85" s="1" t="b">
        <f t="shared" si="1"/>
        <v>1</v>
      </c>
      <c r="O85" s="1" t="s">
        <v>221</v>
      </c>
    </row>
    <row r="86" spans="11:15" x14ac:dyDescent="0.2">
      <c r="K86" s="1">
        <v>85</v>
      </c>
      <c r="L86" s="1" t="s">
        <v>86</v>
      </c>
      <c r="M86" s="1" t="s">
        <v>86</v>
      </c>
      <c r="N86" s="1" t="b">
        <f t="shared" si="1"/>
        <v>1</v>
      </c>
      <c r="O86" s="1" t="s">
        <v>221</v>
      </c>
    </row>
    <row r="87" spans="11:15" x14ac:dyDescent="0.2">
      <c r="K87" s="1">
        <v>86</v>
      </c>
      <c r="L87" s="1" t="s">
        <v>87</v>
      </c>
      <c r="M87" s="1" t="s">
        <v>87</v>
      </c>
      <c r="N87" s="1" t="b">
        <f t="shared" si="1"/>
        <v>1</v>
      </c>
      <c r="O87" s="1" t="s">
        <v>221</v>
      </c>
    </row>
    <row r="88" spans="11:15" hidden="1" x14ac:dyDescent="0.2">
      <c r="K88" s="1">
        <v>87</v>
      </c>
      <c r="L88" s="1" t="s">
        <v>88</v>
      </c>
      <c r="N88" s="1" t="b">
        <f t="shared" si="1"/>
        <v>0</v>
      </c>
      <c r="O88" s="1" t="s">
        <v>221</v>
      </c>
    </row>
    <row r="89" spans="11:15" hidden="1" x14ac:dyDescent="0.2">
      <c r="K89" s="1">
        <v>88</v>
      </c>
      <c r="L89" s="1" t="s">
        <v>89</v>
      </c>
      <c r="N89" s="1" t="b">
        <f t="shared" si="1"/>
        <v>0</v>
      </c>
      <c r="O89" s="1" t="s">
        <v>221</v>
      </c>
    </row>
    <row r="90" spans="11:15" hidden="1" x14ac:dyDescent="0.2">
      <c r="K90" s="1">
        <v>89</v>
      </c>
      <c r="L90" s="1" t="s">
        <v>90</v>
      </c>
      <c r="N90" s="1" t="b">
        <f t="shared" si="1"/>
        <v>0</v>
      </c>
      <c r="O90" s="1" t="s">
        <v>221</v>
      </c>
    </row>
    <row r="91" spans="11:15" x14ac:dyDescent="0.2">
      <c r="K91" s="1">
        <v>90</v>
      </c>
      <c r="L91" s="1" t="s">
        <v>91</v>
      </c>
      <c r="M91" s="1" t="s">
        <v>91</v>
      </c>
      <c r="N91" s="1" t="b">
        <f t="shared" si="1"/>
        <v>1</v>
      </c>
      <c r="O91" s="1" t="s">
        <v>221</v>
      </c>
    </row>
    <row r="92" spans="11:15" x14ac:dyDescent="0.2">
      <c r="K92" s="1">
        <v>91</v>
      </c>
      <c r="L92" s="1" t="s">
        <v>92</v>
      </c>
      <c r="M92" s="1" t="s">
        <v>92</v>
      </c>
      <c r="N92" s="1" t="b">
        <f t="shared" si="1"/>
        <v>1</v>
      </c>
      <c r="O92" s="1" t="s">
        <v>221</v>
      </c>
    </row>
    <row r="93" spans="11:15" hidden="1" x14ac:dyDescent="0.2">
      <c r="K93" s="1">
        <v>92</v>
      </c>
      <c r="L93" s="1" t="s">
        <v>93</v>
      </c>
      <c r="N93" s="1" t="b">
        <f t="shared" si="1"/>
        <v>0</v>
      </c>
      <c r="O93" s="1" t="s">
        <v>221</v>
      </c>
    </row>
    <row r="94" spans="11:15" x14ac:dyDescent="0.2">
      <c r="K94" s="1">
        <v>93</v>
      </c>
      <c r="L94" s="1" t="s">
        <v>94</v>
      </c>
      <c r="M94" s="1" t="s">
        <v>94</v>
      </c>
      <c r="N94" s="1" t="b">
        <f t="shared" si="1"/>
        <v>1</v>
      </c>
      <c r="O94" s="1" t="s">
        <v>221</v>
      </c>
    </row>
    <row r="95" spans="11:15" hidden="1" x14ac:dyDescent="0.2">
      <c r="K95" s="1">
        <v>94</v>
      </c>
      <c r="L95" s="1" t="s">
        <v>95</v>
      </c>
      <c r="N95" s="1" t="b">
        <f t="shared" si="1"/>
        <v>0</v>
      </c>
      <c r="O95" s="1" t="s">
        <v>222</v>
      </c>
    </row>
    <row r="96" spans="11:15" hidden="1" x14ac:dyDescent="0.2">
      <c r="K96" s="1">
        <v>95</v>
      </c>
      <c r="L96" s="1" t="s">
        <v>96</v>
      </c>
      <c r="N96" s="1" t="b">
        <f t="shared" si="1"/>
        <v>0</v>
      </c>
      <c r="O96" s="1" t="s">
        <v>222</v>
      </c>
    </row>
    <row r="97" spans="11:15" hidden="1" x14ac:dyDescent="0.2">
      <c r="K97" s="1">
        <v>96</v>
      </c>
      <c r="L97" s="1" t="s">
        <v>97</v>
      </c>
      <c r="N97" s="1" t="b">
        <f t="shared" si="1"/>
        <v>0</v>
      </c>
      <c r="O97" s="1" t="s">
        <v>222</v>
      </c>
    </row>
    <row r="98" spans="11:15" hidden="1" x14ac:dyDescent="0.2">
      <c r="K98" s="1">
        <v>97</v>
      </c>
      <c r="L98" s="1" t="s">
        <v>98</v>
      </c>
      <c r="M98" s="1" t="s">
        <v>98</v>
      </c>
      <c r="N98" s="1" t="b">
        <f t="shared" si="1"/>
        <v>1</v>
      </c>
      <c r="O98" s="1" t="s">
        <v>222</v>
      </c>
    </row>
    <row r="99" spans="11:15" hidden="1" x14ac:dyDescent="0.2">
      <c r="K99" s="1">
        <v>98</v>
      </c>
      <c r="L99" s="1" t="s">
        <v>99</v>
      </c>
      <c r="N99" s="1" t="b">
        <f t="shared" si="1"/>
        <v>0</v>
      </c>
      <c r="O99" s="1" t="s">
        <v>221</v>
      </c>
    </row>
    <row r="100" spans="11:15" x14ac:dyDescent="0.2">
      <c r="K100" s="1">
        <v>99</v>
      </c>
      <c r="L100" s="1" t="s">
        <v>100</v>
      </c>
      <c r="M100" s="1" t="s">
        <v>100</v>
      </c>
      <c r="N100" s="1" t="b">
        <f t="shared" si="1"/>
        <v>1</v>
      </c>
      <c r="O100" s="1" t="s">
        <v>221</v>
      </c>
    </row>
    <row r="101" spans="11:15" hidden="1" x14ac:dyDescent="0.2">
      <c r="K101" s="1">
        <v>100</v>
      </c>
      <c r="L101" s="1" t="s">
        <v>101</v>
      </c>
      <c r="N101" s="1" t="b">
        <f t="shared" si="1"/>
        <v>0</v>
      </c>
      <c r="O101" s="1" t="s">
        <v>221</v>
      </c>
    </row>
    <row r="102" spans="11:15" hidden="1" x14ac:dyDescent="0.2">
      <c r="K102" s="1">
        <v>101</v>
      </c>
      <c r="L102" s="1" t="s">
        <v>102</v>
      </c>
      <c r="N102" s="1" t="b">
        <f t="shared" si="1"/>
        <v>0</v>
      </c>
      <c r="O102" s="1" t="s">
        <v>221</v>
      </c>
    </row>
    <row r="103" spans="11:15" hidden="1" x14ac:dyDescent="0.2">
      <c r="K103" s="1">
        <v>102</v>
      </c>
      <c r="L103" s="1" t="s">
        <v>103</v>
      </c>
      <c r="N103" s="1" t="b">
        <f t="shared" si="1"/>
        <v>0</v>
      </c>
      <c r="O103" s="1" t="s">
        <v>221</v>
      </c>
    </row>
    <row r="104" spans="11:15" hidden="1" x14ac:dyDescent="0.2">
      <c r="K104" s="1">
        <v>103</v>
      </c>
      <c r="L104" s="1" t="s">
        <v>104</v>
      </c>
      <c r="N104" s="1" t="b">
        <f t="shared" si="1"/>
        <v>0</v>
      </c>
      <c r="O104" s="1" t="s">
        <v>222</v>
      </c>
    </row>
    <row r="105" spans="11:15" hidden="1" x14ac:dyDescent="0.2">
      <c r="K105" s="1">
        <v>104</v>
      </c>
      <c r="L105" s="1" t="s">
        <v>105</v>
      </c>
      <c r="N105" s="1" t="b">
        <f t="shared" si="1"/>
        <v>0</v>
      </c>
      <c r="O105" s="1" t="s">
        <v>222</v>
      </c>
    </row>
    <row r="106" spans="11:15" x14ac:dyDescent="0.2">
      <c r="K106" s="1">
        <v>105</v>
      </c>
      <c r="L106" s="1" t="s">
        <v>106</v>
      </c>
      <c r="M106" s="1" t="s">
        <v>106</v>
      </c>
      <c r="N106" s="1" t="b">
        <f t="shared" si="1"/>
        <v>1</v>
      </c>
      <c r="O106" s="1" t="s">
        <v>221</v>
      </c>
    </row>
    <row r="107" spans="11:15" hidden="1" x14ac:dyDescent="0.2">
      <c r="K107" s="1">
        <v>106</v>
      </c>
      <c r="L107" s="1" t="s">
        <v>107</v>
      </c>
      <c r="N107" s="1" t="b">
        <f t="shared" si="1"/>
        <v>0</v>
      </c>
      <c r="O107" s="1" t="s">
        <v>222</v>
      </c>
    </row>
    <row r="108" spans="11:15" hidden="1" x14ac:dyDescent="0.2">
      <c r="K108" s="1">
        <v>107</v>
      </c>
      <c r="L108" s="1" t="s">
        <v>108</v>
      </c>
      <c r="N108" s="1" t="b">
        <f t="shared" si="1"/>
        <v>0</v>
      </c>
      <c r="O108" s="1" t="s">
        <v>222</v>
      </c>
    </row>
    <row r="109" spans="11:15" hidden="1" x14ac:dyDescent="0.2">
      <c r="K109" s="1">
        <v>108</v>
      </c>
      <c r="L109" s="1" t="s">
        <v>109</v>
      </c>
      <c r="M109" s="1" t="s">
        <v>109</v>
      </c>
      <c r="N109" s="1" t="b">
        <f t="shared" si="1"/>
        <v>1</v>
      </c>
      <c r="O109" s="1" t="s">
        <v>222</v>
      </c>
    </row>
    <row r="110" spans="11:15" hidden="1" x14ac:dyDescent="0.2">
      <c r="K110" s="1">
        <v>109</v>
      </c>
      <c r="L110" s="1" t="s">
        <v>110</v>
      </c>
      <c r="N110" s="1" t="b">
        <f t="shared" si="1"/>
        <v>0</v>
      </c>
      <c r="O110" s="1" t="s">
        <v>221</v>
      </c>
    </row>
    <row r="111" spans="11:15" hidden="1" x14ac:dyDescent="0.2">
      <c r="K111" s="1">
        <v>110</v>
      </c>
      <c r="L111" s="1" t="s">
        <v>111</v>
      </c>
      <c r="N111" s="1" t="b">
        <f t="shared" si="1"/>
        <v>0</v>
      </c>
      <c r="O111" s="1" t="s">
        <v>221</v>
      </c>
    </row>
    <row r="112" spans="11:15" x14ac:dyDescent="0.2">
      <c r="K112" s="1">
        <v>111</v>
      </c>
      <c r="L112" s="1" t="s">
        <v>112</v>
      </c>
      <c r="M112" s="1" t="s">
        <v>112</v>
      </c>
      <c r="N112" s="1" t="b">
        <f t="shared" si="1"/>
        <v>1</v>
      </c>
      <c r="O112" s="1" t="s">
        <v>221</v>
      </c>
    </row>
    <row r="113" spans="11:15" x14ac:dyDescent="0.2">
      <c r="K113" s="1">
        <v>112</v>
      </c>
      <c r="L113" s="1" t="s">
        <v>113</v>
      </c>
      <c r="M113" s="1" t="s">
        <v>113</v>
      </c>
      <c r="N113" s="1" t="b">
        <f t="shared" si="1"/>
        <v>1</v>
      </c>
      <c r="O113" s="1" t="s">
        <v>221</v>
      </c>
    </row>
    <row r="114" spans="11:15" x14ac:dyDescent="0.2">
      <c r="K114" s="1">
        <v>113</v>
      </c>
      <c r="L114" s="1" t="s">
        <v>114</v>
      </c>
      <c r="M114" s="1" t="s">
        <v>114</v>
      </c>
      <c r="N114" s="1" t="b">
        <f t="shared" si="1"/>
        <v>1</v>
      </c>
      <c r="O114" s="1" t="s">
        <v>221</v>
      </c>
    </row>
    <row r="115" spans="11:15" x14ac:dyDescent="0.2">
      <c r="K115" s="1">
        <v>114</v>
      </c>
      <c r="L115" s="1" t="s">
        <v>115</v>
      </c>
      <c r="M115" s="1" t="s">
        <v>115</v>
      </c>
      <c r="N115" s="1" t="b">
        <f t="shared" si="1"/>
        <v>1</v>
      </c>
      <c r="O115" s="1" t="s">
        <v>221</v>
      </c>
    </row>
    <row r="116" spans="11:15" hidden="1" x14ac:dyDescent="0.2">
      <c r="K116" s="1">
        <v>115</v>
      </c>
      <c r="L116" s="1" t="s">
        <v>116</v>
      </c>
      <c r="M116" s="1" t="s">
        <v>116</v>
      </c>
      <c r="N116" s="1" t="b">
        <f t="shared" si="1"/>
        <v>1</v>
      </c>
      <c r="O116" s="1" t="s">
        <v>222</v>
      </c>
    </row>
    <row r="117" spans="11:15" x14ac:dyDescent="0.2">
      <c r="K117" s="1">
        <v>116</v>
      </c>
      <c r="L117" s="1" t="s">
        <v>117</v>
      </c>
      <c r="M117" s="1" t="s">
        <v>117</v>
      </c>
      <c r="N117" s="1" t="b">
        <f t="shared" si="1"/>
        <v>1</v>
      </c>
      <c r="O117" s="1" t="s">
        <v>221</v>
      </c>
    </row>
    <row r="118" spans="11:15" x14ac:dyDescent="0.2">
      <c r="K118" s="1">
        <v>117</v>
      </c>
      <c r="L118" s="1" t="s">
        <v>118</v>
      </c>
      <c r="M118" s="1" t="s">
        <v>118</v>
      </c>
      <c r="N118" s="1" t="b">
        <f t="shared" si="1"/>
        <v>1</v>
      </c>
      <c r="O118" s="1" t="s">
        <v>221</v>
      </c>
    </row>
    <row r="119" spans="11:15" x14ac:dyDescent="0.2">
      <c r="K119" s="1">
        <v>118</v>
      </c>
      <c r="L119" s="1" t="s">
        <v>119</v>
      </c>
      <c r="M119" s="1" t="s">
        <v>119</v>
      </c>
      <c r="N119" s="1" t="b">
        <f t="shared" si="1"/>
        <v>1</v>
      </c>
      <c r="O119" s="1" t="s">
        <v>221</v>
      </c>
    </row>
    <row r="120" spans="11:15" x14ac:dyDescent="0.2">
      <c r="K120" s="1">
        <v>119</v>
      </c>
      <c r="L120" s="1" t="s">
        <v>120</v>
      </c>
      <c r="M120" s="1" t="s">
        <v>120</v>
      </c>
      <c r="N120" s="1" t="b">
        <f t="shared" si="1"/>
        <v>1</v>
      </c>
      <c r="O120" s="1" t="s">
        <v>221</v>
      </c>
    </row>
    <row r="121" spans="11:15" x14ac:dyDescent="0.2">
      <c r="K121" s="1">
        <v>120</v>
      </c>
      <c r="L121" s="1" t="s">
        <v>121</v>
      </c>
      <c r="M121" s="1" t="s">
        <v>121</v>
      </c>
      <c r="N121" s="1" t="b">
        <f t="shared" si="1"/>
        <v>1</v>
      </c>
      <c r="O121" s="1" t="s">
        <v>221</v>
      </c>
    </row>
    <row r="122" spans="11:15" x14ac:dyDescent="0.2">
      <c r="K122" s="1">
        <v>121</v>
      </c>
      <c r="L122" s="1" t="s">
        <v>122</v>
      </c>
      <c r="M122" s="1" t="s">
        <v>122</v>
      </c>
      <c r="N122" s="1" t="b">
        <f t="shared" si="1"/>
        <v>1</v>
      </c>
      <c r="O122" s="1" t="s">
        <v>221</v>
      </c>
    </row>
    <row r="123" spans="11:15" x14ac:dyDescent="0.2">
      <c r="K123" s="1">
        <v>122</v>
      </c>
      <c r="L123" s="1" t="s">
        <v>123</v>
      </c>
      <c r="M123" s="1" t="s">
        <v>123</v>
      </c>
      <c r="N123" s="1" t="b">
        <f t="shared" si="1"/>
        <v>1</v>
      </c>
      <c r="O123" s="1" t="s">
        <v>221</v>
      </c>
    </row>
    <row r="124" spans="11:15" x14ac:dyDescent="0.2">
      <c r="K124" s="1">
        <v>123</v>
      </c>
      <c r="L124" s="1" t="s">
        <v>124</v>
      </c>
      <c r="M124" s="1" t="s">
        <v>124</v>
      </c>
      <c r="N124" s="1" t="b">
        <f t="shared" si="1"/>
        <v>1</v>
      </c>
      <c r="O124" s="1" t="s">
        <v>221</v>
      </c>
    </row>
    <row r="125" spans="11:15" x14ac:dyDescent="0.2">
      <c r="K125" s="1">
        <v>124</v>
      </c>
      <c r="L125" s="1" t="s">
        <v>125</v>
      </c>
      <c r="M125" s="1" t="s">
        <v>125</v>
      </c>
      <c r="N125" s="1" t="b">
        <f t="shared" si="1"/>
        <v>1</v>
      </c>
      <c r="O125" s="1" t="s">
        <v>221</v>
      </c>
    </row>
    <row r="126" spans="11:15" x14ac:dyDescent="0.2">
      <c r="K126" s="1">
        <v>125</v>
      </c>
      <c r="L126" s="1" t="s">
        <v>126</v>
      </c>
      <c r="M126" s="1" t="s">
        <v>126</v>
      </c>
      <c r="N126" s="1" t="b">
        <f t="shared" si="1"/>
        <v>1</v>
      </c>
      <c r="O126" s="1" t="s">
        <v>221</v>
      </c>
    </row>
    <row r="127" spans="11:15" hidden="1" x14ac:dyDescent="0.2">
      <c r="K127" s="1">
        <v>126</v>
      </c>
      <c r="L127" s="1" t="s">
        <v>127</v>
      </c>
      <c r="N127" s="1" t="b">
        <f t="shared" si="1"/>
        <v>0</v>
      </c>
      <c r="O127" s="1" t="s">
        <v>221</v>
      </c>
    </row>
    <row r="128" spans="11:15" hidden="1" x14ac:dyDescent="0.2">
      <c r="K128" s="1">
        <v>127</v>
      </c>
      <c r="L128" s="1" t="s">
        <v>128</v>
      </c>
      <c r="N128" s="1" t="b">
        <f t="shared" si="1"/>
        <v>0</v>
      </c>
      <c r="O128" s="1" t="s">
        <v>221</v>
      </c>
    </row>
    <row r="129" spans="11:15" x14ac:dyDescent="0.2">
      <c r="K129" s="1">
        <v>128</v>
      </c>
      <c r="L129" s="1" t="s">
        <v>129</v>
      </c>
      <c r="M129" s="1" t="s">
        <v>129</v>
      </c>
      <c r="N129" s="1" t="b">
        <f t="shared" ref="N129:N192" si="2">L:L=M:M</f>
        <v>1</v>
      </c>
      <c r="O129" s="1" t="s">
        <v>221</v>
      </c>
    </row>
    <row r="130" spans="11:15" x14ac:dyDescent="0.2">
      <c r="K130" s="1">
        <v>129</v>
      </c>
      <c r="L130" s="1" t="s">
        <v>130</v>
      </c>
      <c r="M130" s="1" t="s">
        <v>130</v>
      </c>
      <c r="N130" s="1" t="b">
        <f t="shared" si="2"/>
        <v>1</v>
      </c>
      <c r="O130" s="1" t="s">
        <v>221</v>
      </c>
    </row>
    <row r="131" spans="11:15" x14ac:dyDescent="0.2">
      <c r="K131" s="1">
        <v>130</v>
      </c>
      <c r="L131" s="1" t="s">
        <v>131</v>
      </c>
      <c r="M131" s="1" t="s">
        <v>131</v>
      </c>
      <c r="N131" s="1" t="b">
        <f t="shared" si="2"/>
        <v>1</v>
      </c>
      <c r="O131" s="1" t="s">
        <v>221</v>
      </c>
    </row>
    <row r="132" spans="11:15" x14ac:dyDescent="0.2">
      <c r="K132" s="1">
        <v>131</v>
      </c>
      <c r="L132" s="1" t="s">
        <v>132</v>
      </c>
      <c r="M132" s="1" t="s">
        <v>132</v>
      </c>
      <c r="N132" s="1" t="b">
        <f t="shared" si="2"/>
        <v>1</v>
      </c>
      <c r="O132" s="1" t="s">
        <v>221</v>
      </c>
    </row>
    <row r="133" spans="11:15" x14ac:dyDescent="0.2">
      <c r="K133" s="1">
        <v>132</v>
      </c>
      <c r="L133" s="1" t="s">
        <v>133</v>
      </c>
      <c r="M133" s="1" t="s">
        <v>133</v>
      </c>
      <c r="N133" s="1" t="b">
        <f t="shared" si="2"/>
        <v>1</v>
      </c>
      <c r="O133" s="1" t="s">
        <v>221</v>
      </c>
    </row>
    <row r="134" spans="11:15" hidden="1" x14ac:dyDescent="0.2">
      <c r="K134" s="1">
        <v>133</v>
      </c>
      <c r="L134" s="1" t="s">
        <v>134</v>
      </c>
      <c r="N134" s="1" t="b">
        <f t="shared" si="2"/>
        <v>0</v>
      </c>
      <c r="O134" s="1" t="s">
        <v>221</v>
      </c>
    </row>
    <row r="135" spans="11:15" x14ac:dyDescent="0.2">
      <c r="K135" s="1">
        <v>134</v>
      </c>
      <c r="L135" s="1" t="s">
        <v>135</v>
      </c>
      <c r="M135" s="1" t="s">
        <v>135</v>
      </c>
      <c r="N135" s="1" t="b">
        <f t="shared" si="2"/>
        <v>1</v>
      </c>
      <c r="O135" s="1" t="s">
        <v>221</v>
      </c>
    </row>
    <row r="136" spans="11:15" x14ac:dyDescent="0.2">
      <c r="K136" s="1">
        <v>135</v>
      </c>
      <c r="L136" s="1" t="s">
        <v>136</v>
      </c>
      <c r="M136" s="1" t="s">
        <v>136</v>
      </c>
      <c r="N136" s="1" t="b">
        <f t="shared" si="2"/>
        <v>1</v>
      </c>
      <c r="O136" s="1" t="s">
        <v>221</v>
      </c>
    </row>
    <row r="137" spans="11:15" x14ac:dyDescent="0.2">
      <c r="K137" s="1">
        <v>136</v>
      </c>
      <c r="L137" s="1" t="s">
        <v>137</v>
      </c>
      <c r="M137" s="1" t="s">
        <v>137</v>
      </c>
      <c r="N137" s="1" t="b">
        <f t="shared" si="2"/>
        <v>1</v>
      </c>
      <c r="O137" s="1" t="s">
        <v>221</v>
      </c>
    </row>
    <row r="138" spans="11:15" x14ac:dyDescent="0.2">
      <c r="K138" s="1">
        <v>137</v>
      </c>
      <c r="L138" s="1" t="s">
        <v>138</v>
      </c>
      <c r="M138" s="1" t="s">
        <v>138</v>
      </c>
      <c r="N138" s="1" t="b">
        <f t="shared" si="2"/>
        <v>1</v>
      </c>
      <c r="O138" s="1" t="s">
        <v>221</v>
      </c>
    </row>
    <row r="139" spans="11:15" x14ac:dyDescent="0.2">
      <c r="K139" s="1">
        <v>138</v>
      </c>
      <c r="L139" s="1" t="s">
        <v>139</v>
      </c>
      <c r="M139" s="1" t="s">
        <v>139</v>
      </c>
      <c r="N139" s="1" t="b">
        <f t="shared" si="2"/>
        <v>1</v>
      </c>
      <c r="O139" s="1" t="s">
        <v>221</v>
      </c>
    </row>
    <row r="140" spans="11:15" x14ac:dyDescent="0.2">
      <c r="K140" s="1">
        <v>139</v>
      </c>
      <c r="L140" s="1" t="s">
        <v>140</v>
      </c>
      <c r="M140" s="1" t="s">
        <v>140</v>
      </c>
      <c r="N140" s="1" t="b">
        <f t="shared" si="2"/>
        <v>1</v>
      </c>
      <c r="O140" s="1" t="s">
        <v>221</v>
      </c>
    </row>
    <row r="141" spans="11:15" x14ac:dyDescent="0.2">
      <c r="K141" s="1">
        <v>140</v>
      </c>
      <c r="L141" s="1" t="s">
        <v>141</v>
      </c>
      <c r="M141" s="1" t="s">
        <v>141</v>
      </c>
      <c r="N141" s="1" t="b">
        <f t="shared" si="2"/>
        <v>1</v>
      </c>
      <c r="O141" s="1" t="s">
        <v>221</v>
      </c>
    </row>
    <row r="142" spans="11:15" hidden="1" x14ac:dyDescent="0.2">
      <c r="K142" s="1">
        <v>141</v>
      </c>
      <c r="L142" s="1" t="s">
        <v>142</v>
      </c>
      <c r="N142" s="1" t="b">
        <f t="shared" si="2"/>
        <v>0</v>
      </c>
      <c r="O142" s="1" t="s">
        <v>222</v>
      </c>
    </row>
    <row r="143" spans="11:15" hidden="1" x14ac:dyDescent="0.2">
      <c r="K143" s="1">
        <v>142</v>
      </c>
      <c r="L143" s="1" t="s">
        <v>143</v>
      </c>
      <c r="N143" s="1" t="b">
        <f t="shared" si="2"/>
        <v>0</v>
      </c>
      <c r="O143" s="1" t="s">
        <v>222</v>
      </c>
    </row>
    <row r="144" spans="11:15" hidden="1" x14ac:dyDescent="0.2">
      <c r="K144" s="1">
        <v>143</v>
      </c>
      <c r="L144" s="1" t="s">
        <v>144</v>
      </c>
      <c r="N144" s="1" t="b">
        <f t="shared" si="2"/>
        <v>0</v>
      </c>
      <c r="O144" s="1" t="s">
        <v>222</v>
      </c>
    </row>
    <row r="145" spans="11:15" hidden="1" x14ac:dyDescent="0.2">
      <c r="K145" s="1">
        <v>144</v>
      </c>
      <c r="L145" s="1" t="s">
        <v>145</v>
      </c>
      <c r="N145" s="1" t="b">
        <f t="shared" si="2"/>
        <v>0</v>
      </c>
      <c r="O145" s="1" t="s">
        <v>222</v>
      </c>
    </row>
    <row r="146" spans="11:15" hidden="1" x14ac:dyDescent="0.2">
      <c r="K146" s="1">
        <v>145</v>
      </c>
      <c r="L146" s="1" t="s">
        <v>146</v>
      </c>
      <c r="N146" s="1" t="b">
        <f t="shared" si="2"/>
        <v>0</v>
      </c>
      <c r="O146" s="1" t="s">
        <v>222</v>
      </c>
    </row>
    <row r="147" spans="11:15" hidden="1" x14ac:dyDescent="0.2">
      <c r="K147" s="1">
        <v>146</v>
      </c>
      <c r="L147" s="1" t="s">
        <v>147</v>
      </c>
      <c r="M147" s="1" t="s">
        <v>147</v>
      </c>
      <c r="N147" s="1" t="b">
        <f t="shared" si="2"/>
        <v>1</v>
      </c>
      <c r="O147" s="1" t="s">
        <v>222</v>
      </c>
    </row>
    <row r="148" spans="11:15" hidden="1" x14ac:dyDescent="0.2">
      <c r="K148" s="1">
        <v>147</v>
      </c>
      <c r="L148" s="1" t="s">
        <v>148</v>
      </c>
      <c r="N148" s="1" t="b">
        <f t="shared" si="2"/>
        <v>0</v>
      </c>
      <c r="O148" s="1" t="s">
        <v>222</v>
      </c>
    </row>
    <row r="149" spans="11:15" hidden="1" x14ac:dyDescent="0.2">
      <c r="K149" s="1">
        <v>148</v>
      </c>
      <c r="L149" s="1" t="s">
        <v>149</v>
      </c>
      <c r="M149" s="1" t="s">
        <v>149</v>
      </c>
      <c r="N149" s="1" t="b">
        <f t="shared" si="2"/>
        <v>1</v>
      </c>
      <c r="O149" s="1" t="s">
        <v>222</v>
      </c>
    </row>
    <row r="150" spans="11:15" hidden="1" x14ac:dyDescent="0.2">
      <c r="K150" s="1">
        <v>149</v>
      </c>
      <c r="L150" s="1" t="s">
        <v>150</v>
      </c>
      <c r="N150" s="1" t="b">
        <f t="shared" si="2"/>
        <v>0</v>
      </c>
      <c r="O150" s="1" t="s">
        <v>222</v>
      </c>
    </row>
    <row r="151" spans="11:15" hidden="1" x14ac:dyDescent="0.2">
      <c r="K151" s="1">
        <v>150</v>
      </c>
      <c r="L151" s="1" t="s">
        <v>151</v>
      </c>
      <c r="M151" s="1" t="s">
        <v>151</v>
      </c>
      <c r="N151" s="1" t="b">
        <f t="shared" si="2"/>
        <v>1</v>
      </c>
      <c r="O151" s="1" t="s">
        <v>222</v>
      </c>
    </row>
    <row r="152" spans="11:15" hidden="1" x14ac:dyDescent="0.2">
      <c r="K152" s="1">
        <v>151</v>
      </c>
      <c r="L152" s="1" t="s">
        <v>152</v>
      </c>
      <c r="N152" s="1" t="b">
        <f t="shared" si="2"/>
        <v>0</v>
      </c>
      <c r="O152" s="1" t="s">
        <v>222</v>
      </c>
    </row>
    <row r="153" spans="11:15" hidden="1" x14ac:dyDescent="0.2">
      <c r="K153" s="1">
        <v>152</v>
      </c>
      <c r="L153" s="1" t="s">
        <v>153</v>
      </c>
      <c r="M153" s="1" t="s">
        <v>153</v>
      </c>
      <c r="N153" s="1" t="b">
        <f t="shared" si="2"/>
        <v>1</v>
      </c>
      <c r="O153" s="1" t="s">
        <v>222</v>
      </c>
    </row>
    <row r="154" spans="11:15" hidden="1" x14ac:dyDescent="0.2">
      <c r="K154" s="1">
        <v>153</v>
      </c>
      <c r="L154" s="1" t="s">
        <v>154</v>
      </c>
      <c r="N154" s="1" t="b">
        <f t="shared" si="2"/>
        <v>0</v>
      </c>
      <c r="O154" s="1" t="s">
        <v>222</v>
      </c>
    </row>
    <row r="155" spans="11:15" x14ac:dyDescent="0.2">
      <c r="K155" s="1">
        <v>154</v>
      </c>
      <c r="L155" s="1" t="s">
        <v>155</v>
      </c>
      <c r="M155" s="1" t="s">
        <v>155</v>
      </c>
      <c r="N155" s="1" t="b">
        <f t="shared" si="2"/>
        <v>1</v>
      </c>
      <c r="O155" s="1" t="s">
        <v>221</v>
      </c>
    </row>
    <row r="156" spans="11:15" hidden="1" x14ac:dyDescent="0.2">
      <c r="K156" s="1">
        <v>155</v>
      </c>
      <c r="L156" s="1" t="s">
        <v>156</v>
      </c>
      <c r="N156" s="1" t="b">
        <f t="shared" si="2"/>
        <v>0</v>
      </c>
      <c r="O156" s="1" t="s">
        <v>222</v>
      </c>
    </row>
    <row r="157" spans="11:15" hidden="1" x14ac:dyDescent="0.2">
      <c r="K157" s="1">
        <v>156</v>
      </c>
      <c r="L157" s="1" t="s">
        <v>157</v>
      </c>
      <c r="N157" s="1" t="b">
        <f t="shared" si="2"/>
        <v>0</v>
      </c>
      <c r="O157" s="1" t="s">
        <v>222</v>
      </c>
    </row>
    <row r="158" spans="11:15" hidden="1" x14ac:dyDescent="0.2">
      <c r="K158" s="1">
        <v>157</v>
      </c>
      <c r="L158" s="1" t="s">
        <v>158</v>
      </c>
      <c r="M158" s="1" t="s">
        <v>158</v>
      </c>
      <c r="N158" s="1" t="b">
        <f t="shared" si="2"/>
        <v>1</v>
      </c>
      <c r="O158" s="1" t="s">
        <v>222</v>
      </c>
    </row>
    <row r="159" spans="11:15" hidden="1" x14ac:dyDescent="0.2">
      <c r="K159" s="1">
        <v>158</v>
      </c>
      <c r="L159" s="1" t="s">
        <v>159</v>
      </c>
      <c r="N159" s="1" t="b">
        <f t="shared" si="2"/>
        <v>0</v>
      </c>
      <c r="O159" s="1" t="s">
        <v>222</v>
      </c>
    </row>
    <row r="160" spans="11:15" x14ac:dyDescent="0.2">
      <c r="K160" s="1">
        <v>159</v>
      </c>
      <c r="L160" s="1" t="s">
        <v>160</v>
      </c>
      <c r="M160" s="1" t="s">
        <v>160</v>
      </c>
      <c r="N160" s="1" t="b">
        <f t="shared" si="2"/>
        <v>1</v>
      </c>
      <c r="O160" s="1" t="s">
        <v>221</v>
      </c>
    </row>
    <row r="161" spans="11:15" x14ac:dyDescent="0.2">
      <c r="K161" s="1">
        <v>160</v>
      </c>
      <c r="L161" s="1" t="s">
        <v>161</v>
      </c>
      <c r="M161" s="1" t="s">
        <v>161</v>
      </c>
      <c r="N161" s="1" t="b">
        <f t="shared" si="2"/>
        <v>1</v>
      </c>
      <c r="O161" s="1" t="s">
        <v>221</v>
      </c>
    </row>
    <row r="162" spans="11:15" hidden="1" x14ac:dyDescent="0.2">
      <c r="K162" s="1">
        <v>161</v>
      </c>
      <c r="L162" s="1" t="s">
        <v>162</v>
      </c>
      <c r="N162" s="1" t="b">
        <f t="shared" si="2"/>
        <v>0</v>
      </c>
      <c r="O162" s="1" t="s">
        <v>222</v>
      </c>
    </row>
    <row r="163" spans="11:15" x14ac:dyDescent="0.2">
      <c r="K163" s="1">
        <v>162</v>
      </c>
      <c r="L163" s="1" t="s">
        <v>163</v>
      </c>
      <c r="M163" s="1" t="s">
        <v>163</v>
      </c>
      <c r="N163" s="1" t="b">
        <f t="shared" si="2"/>
        <v>1</v>
      </c>
      <c r="O163" s="1" t="s">
        <v>221</v>
      </c>
    </row>
    <row r="164" spans="11:15" x14ac:dyDescent="0.2">
      <c r="K164" s="1">
        <v>163</v>
      </c>
      <c r="L164" s="1" t="s">
        <v>164</v>
      </c>
      <c r="M164" s="1" t="s">
        <v>164</v>
      </c>
      <c r="N164" s="1" t="b">
        <f t="shared" si="2"/>
        <v>1</v>
      </c>
      <c r="O164" s="1" t="s">
        <v>221</v>
      </c>
    </row>
    <row r="165" spans="11:15" x14ac:dyDescent="0.2">
      <c r="K165" s="1">
        <v>164</v>
      </c>
      <c r="L165" s="1" t="s">
        <v>165</v>
      </c>
      <c r="M165" s="1" t="s">
        <v>165</v>
      </c>
      <c r="N165" s="1" t="b">
        <f t="shared" si="2"/>
        <v>1</v>
      </c>
      <c r="O165" s="1" t="s">
        <v>221</v>
      </c>
    </row>
    <row r="166" spans="11:15" hidden="1" x14ac:dyDescent="0.2">
      <c r="K166" s="1">
        <v>165</v>
      </c>
      <c r="L166" s="1" t="s">
        <v>166</v>
      </c>
      <c r="N166" s="1" t="b">
        <f t="shared" si="2"/>
        <v>0</v>
      </c>
      <c r="O166" s="1" t="s">
        <v>222</v>
      </c>
    </row>
    <row r="167" spans="11:15" x14ac:dyDescent="0.2">
      <c r="K167" s="1">
        <v>166</v>
      </c>
      <c r="L167" s="1" t="s">
        <v>167</v>
      </c>
      <c r="M167" s="1" t="s">
        <v>167</v>
      </c>
      <c r="N167" s="1" t="b">
        <f t="shared" si="2"/>
        <v>1</v>
      </c>
      <c r="O167" s="1" t="s">
        <v>221</v>
      </c>
    </row>
    <row r="168" spans="11:15" hidden="1" x14ac:dyDescent="0.2">
      <c r="K168" s="1">
        <v>167</v>
      </c>
      <c r="L168" s="1" t="s">
        <v>168</v>
      </c>
      <c r="N168" s="1" t="b">
        <f t="shared" si="2"/>
        <v>0</v>
      </c>
      <c r="O168" s="1" t="s">
        <v>222</v>
      </c>
    </row>
    <row r="169" spans="11:15" x14ac:dyDescent="0.2">
      <c r="K169" s="1">
        <v>168</v>
      </c>
      <c r="L169" s="1" t="s">
        <v>169</v>
      </c>
      <c r="M169" s="1" t="s">
        <v>169</v>
      </c>
      <c r="N169" s="1" t="b">
        <f t="shared" si="2"/>
        <v>1</v>
      </c>
      <c r="O169" s="1" t="s">
        <v>221</v>
      </c>
    </row>
    <row r="170" spans="11:15" hidden="1" x14ac:dyDescent="0.2">
      <c r="K170" s="1">
        <v>169</v>
      </c>
      <c r="L170" s="1" t="s">
        <v>170</v>
      </c>
      <c r="N170" s="1" t="b">
        <f t="shared" si="2"/>
        <v>0</v>
      </c>
      <c r="O170" s="1" t="s">
        <v>222</v>
      </c>
    </row>
    <row r="171" spans="11:15" x14ac:dyDescent="0.2">
      <c r="K171" s="1">
        <v>170</v>
      </c>
      <c r="L171" s="1" t="s">
        <v>171</v>
      </c>
      <c r="M171" s="1" t="s">
        <v>171</v>
      </c>
      <c r="N171" s="1" t="b">
        <f t="shared" si="2"/>
        <v>1</v>
      </c>
      <c r="O171" s="1" t="s">
        <v>221</v>
      </c>
    </row>
    <row r="172" spans="11:15" hidden="1" x14ac:dyDescent="0.2">
      <c r="K172" s="1">
        <v>171</v>
      </c>
      <c r="L172" s="1" t="s">
        <v>172</v>
      </c>
      <c r="M172" s="1" t="s">
        <v>172</v>
      </c>
      <c r="N172" s="1" t="b">
        <f t="shared" si="2"/>
        <v>1</v>
      </c>
      <c r="O172" s="1" t="s">
        <v>222</v>
      </c>
    </row>
    <row r="173" spans="11:15" hidden="1" x14ac:dyDescent="0.2">
      <c r="K173" s="1">
        <v>172</v>
      </c>
      <c r="L173" s="1" t="s">
        <v>173</v>
      </c>
      <c r="M173" s="1" t="s">
        <v>173</v>
      </c>
      <c r="N173" s="1" t="b">
        <f t="shared" si="2"/>
        <v>1</v>
      </c>
      <c r="O173" s="1" t="s">
        <v>222</v>
      </c>
    </row>
    <row r="174" spans="11:15" hidden="1" x14ac:dyDescent="0.2">
      <c r="K174" s="1">
        <v>173</v>
      </c>
      <c r="L174" s="1" t="s">
        <v>174</v>
      </c>
      <c r="N174" s="1" t="b">
        <f t="shared" si="2"/>
        <v>0</v>
      </c>
      <c r="O174" s="1" t="s">
        <v>222</v>
      </c>
    </row>
    <row r="175" spans="11:15" x14ac:dyDescent="0.2">
      <c r="K175" s="1">
        <v>174</v>
      </c>
      <c r="L175" s="1" t="s">
        <v>175</v>
      </c>
      <c r="M175" s="1" t="s">
        <v>175</v>
      </c>
      <c r="N175" s="1" t="b">
        <f t="shared" si="2"/>
        <v>1</v>
      </c>
      <c r="O175" s="1" t="s">
        <v>221</v>
      </c>
    </row>
    <row r="176" spans="11:15" x14ac:dyDescent="0.2">
      <c r="K176" s="1">
        <v>175</v>
      </c>
      <c r="L176" s="1" t="s">
        <v>176</v>
      </c>
      <c r="M176" s="1" t="s">
        <v>176</v>
      </c>
      <c r="N176" s="1" t="b">
        <f t="shared" si="2"/>
        <v>1</v>
      </c>
      <c r="O176" s="1" t="s">
        <v>221</v>
      </c>
    </row>
    <row r="177" spans="11:15" x14ac:dyDescent="0.2">
      <c r="K177" s="1">
        <v>176</v>
      </c>
      <c r="L177" s="1" t="s">
        <v>177</v>
      </c>
      <c r="M177" s="1" t="s">
        <v>177</v>
      </c>
      <c r="N177" s="1" t="b">
        <f t="shared" si="2"/>
        <v>1</v>
      </c>
      <c r="O177" s="1" t="s">
        <v>221</v>
      </c>
    </row>
    <row r="178" spans="11:15" hidden="1" x14ac:dyDescent="0.2">
      <c r="K178" s="1">
        <v>177</v>
      </c>
      <c r="L178" s="1" t="s">
        <v>178</v>
      </c>
      <c r="N178" s="1" t="b">
        <f t="shared" si="2"/>
        <v>0</v>
      </c>
      <c r="O178" s="1" t="s">
        <v>222</v>
      </c>
    </row>
    <row r="179" spans="11:15" hidden="1" x14ac:dyDescent="0.2">
      <c r="K179" s="1">
        <v>178</v>
      </c>
      <c r="L179" s="1" t="s">
        <v>179</v>
      </c>
      <c r="N179" s="1" t="b">
        <f t="shared" si="2"/>
        <v>0</v>
      </c>
      <c r="O179" s="1" t="s">
        <v>222</v>
      </c>
    </row>
    <row r="180" spans="11:15" hidden="1" x14ac:dyDescent="0.2">
      <c r="K180" s="1">
        <v>179</v>
      </c>
      <c r="L180" s="1" t="s">
        <v>180</v>
      </c>
      <c r="N180" s="1" t="b">
        <f t="shared" si="2"/>
        <v>0</v>
      </c>
      <c r="O180" s="1" t="s">
        <v>221</v>
      </c>
    </row>
    <row r="181" spans="11:15" hidden="1" x14ac:dyDescent="0.2">
      <c r="K181" s="1">
        <v>180</v>
      </c>
      <c r="L181" s="1" t="s">
        <v>181</v>
      </c>
      <c r="N181" s="1" t="b">
        <f t="shared" si="2"/>
        <v>0</v>
      </c>
      <c r="O181" s="1" t="s">
        <v>221</v>
      </c>
    </row>
    <row r="182" spans="11:15" hidden="1" x14ac:dyDescent="0.2">
      <c r="K182" s="1">
        <v>181</v>
      </c>
      <c r="L182" s="1" t="s">
        <v>182</v>
      </c>
      <c r="N182" s="1" t="b">
        <f t="shared" si="2"/>
        <v>0</v>
      </c>
      <c r="O182" s="1" t="s">
        <v>221</v>
      </c>
    </row>
    <row r="183" spans="11:15" hidden="1" x14ac:dyDescent="0.2">
      <c r="K183" s="1">
        <v>182</v>
      </c>
      <c r="L183" s="1" t="s">
        <v>183</v>
      </c>
      <c r="N183" s="1" t="b">
        <f t="shared" si="2"/>
        <v>0</v>
      </c>
      <c r="O183" s="1" t="s">
        <v>222</v>
      </c>
    </row>
    <row r="184" spans="11:15" hidden="1" x14ac:dyDescent="0.2">
      <c r="K184" s="1">
        <v>183</v>
      </c>
      <c r="L184" s="1" t="s">
        <v>184</v>
      </c>
      <c r="N184" s="1" t="b">
        <f t="shared" si="2"/>
        <v>0</v>
      </c>
      <c r="O184" s="1" t="s">
        <v>221</v>
      </c>
    </row>
    <row r="185" spans="11:15" hidden="1" x14ac:dyDescent="0.2">
      <c r="K185" s="1">
        <v>184</v>
      </c>
      <c r="L185" s="1" t="s">
        <v>185</v>
      </c>
      <c r="N185" s="1" t="b">
        <f t="shared" si="2"/>
        <v>0</v>
      </c>
      <c r="O185" s="1" t="s">
        <v>222</v>
      </c>
    </row>
    <row r="186" spans="11:15" hidden="1" x14ac:dyDescent="0.2">
      <c r="K186" s="1">
        <v>185</v>
      </c>
      <c r="L186" s="1" t="s">
        <v>186</v>
      </c>
      <c r="N186" s="1" t="b">
        <f t="shared" si="2"/>
        <v>0</v>
      </c>
      <c r="O186" s="1" t="s">
        <v>221</v>
      </c>
    </row>
    <row r="187" spans="11:15" x14ac:dyDescent="0.2">
      <c r="K187" s="1">
        <v>186</v>
      </c>
      <c r="L187" s="1" t="s">
        <v>187</v>
      </c>
      <c r="M187" s="1" t="s">
        <v>187</v>
      </c>
      <c r="N187" s="1" t="b">
        <f t="shared" si="2"/>
        <v>1</v>
      </c>
      <c r="O187" s="1" t="s">
        <v>221</v>
      </c>
    </row>
    <row r="188" spans="11:15" hidden="1" x14ac:dyDescent="0.2">
      <c r="K188" s="1">
        <v>187</v>
      </c>
      <c r="L188" s="1" t="s">
        <v>188</v>
      </c>
      <c r="N188" s="1" t="b">
        <f t="shared" si="2"/>
        <v>0</v>
      </c>
      <c r="O188" s="1" t="s">
        <v>221</v>
      </c>
    </row>
    <row r="189" spans="11:15" hidden="1" x14ac:dyDescent="0.2">
      <c r="K189" s="1">
        <v>188</v>
      </c>
      <c r="L189" s="1" t="s">
        <v>189</v>
      </c>
      <c r="N189" s="1" t="b">
        <f t="shared" si="2"/>
        <v>0</v>
      </c>
      <c r="O189" s="1" t="s">
        <v>221</v>
      </c>
    </row>
    <row r="190" spans="11:15" hidden="1" x14ac:dyDescent="0.2">
      <c r="K190" s="1">
        <v>189</v>
      </c>
      <c r="L190" s="1" t="s">
        <v>190</v>
      </c>
      <c r="N190" s="1" t="b">
        <f t="shared" si="2"/>
        <v>0</v>
      </c>
      <c r="O190" s="1" t="s">
        <v>221</v>
      </c>
    </row>
    <row r="191" spans="11:15" hidden="1" x14ac:dyDescent="0.2">
      <c r="K191" s="1">
        <v>190</v>
      </c>
      <c r="L191" s="1" t="s">
        <v>191</v>
      </c>
      <c r="N191" s="1" t="b">
        <f t="shared" si="2"/>
        <v>0</v>
      </c>
      <c r="O191" s="1" t="s">
        <v>221</v>
      </c>
    </row>
    <row r="192" spans="11:15" hidden="1" x14ac:dyDescent="0.2">
      <c r="K192" s="1">
        <v>191</v>
      </c>
      <c r="L192" s="1" t="s">
        <v>192</v>
      </c>
      <c r="M192" s="1" t="s">
        <v>192</v>
      </c>
      <c r="N192" s="1" t="b">
        <f t="shared" si="2"/>
        <v>1</v>
      </c>
      <c r="O192" s="1" t="s">
        <v>222</v>
      </c>
    </row>
    <row r="193" spans="11:15" hidden="1" x14ac:dyDescent="0.2">
      <c r="K193" s="1">
        <v>192</v>
      </c>
      <c r="L193" s="1" t="s">
        <v>193</v>
      </c>
      <c r="M193" s="1" t="s">
        <v>193</v>
      </c>
      <c r="N193" s="1" t="b">
        <f t="shared" ref="N193:N220" si="3">L:L=M:M</f>
        <v>1</v>
      </c>
      <c r="O193" s="1" t="s">
        <v>222</v>
      </c>
    </row>
    <row r="194" spans="11:15" x14ac:dyDescent="0.2">
      <c r="K194" s="1">
        <v>193</v>
      </c>
      <c r="L194" s="1" t="s">
        <v>194</v>
      </c>
      <c r="M194" s="1" t="s">
        <v>194</v>
      </c>
      <c r="N194" s="1" t="b">
        <f t="shared" si="3"/>
        <v>1</v>
      </c>
      <c r="O194" s="1" t="s">
        <v>221</v>
      </c>
    </row>
    <row r="195" spans="11:15" hidden="1" x14ac:dyDescent="0.2">
      <c r="K195" s="1">
        <v>194</v>
      </c>
      <c r="L195" s="1" t="s">
        <v>195</v>
      </c>
      <c r="M195" s="1" t="s">
        <v>195</v>
      </c>
      <c r="N195" s="1" t="b">
        <f t="shared" si="3"/>
        <v>1</v>
      </c>
      <c r="O195" s="1" t="s">
        <v>222</v>
      </c>
    </row>
    <row r="196" spans="11:15" hidden="1" x14ac:dyDescent="0.2">
      <c r="K196" s="1">
        <v>195</v>
      </c>
      <c r="L196" s="1" t="s">
        <v>196</v>
      </c>
      <c r="M196" s="1" t="s">
        <v>196</v>
      </c>
      <c r="N196" s="1" t="b">
        <f t="shared" si="3"/>
        <v>1</v>
      </c>
      <c r="O196" s="1" t="s">
        <v>222</v>
      </c>
    </row>
    <row r="197" spans="11:15" hidden="1" x14ac:dyDescent="0.2">
      <c r="K197" s="1">
        <v>196</v>
      </c>
      <c r="L197" s="1" t="s">
        <v>197</v>
      </c>
      <c r="N197" s="1" t="b">
        <f t="shared" si="3"/>
        <v>0</v>
      </c>
      <c r="O197" s="1" t="s">
        <v>222</v>
      </c>
    </row>
    <row r="198" spans="11:15" hidden="1" x14ac:dyDescent="0.2">
      <c r="K198" s="1">
        <v>197</v>
      </c>
      <c r="L198" s="1" t="s">
        <v>198</v>
      </c>
      <c r="M198" s="1" t="s">
        <v>198</v>
      </c>
      <c r="N198" s="1" t="b">
        <f t="shared" si="3"/>
        <v>1</v>
      </c>
      <c r="O198" s="1" t="s">
        <v>222</v>
      </c>
    </row>
    <row r="199" spans="11:15" hidden="1" x14ac:dyDescent="0.2">
      <c r="K199" s="1">
        <v>198</v>
      </c>
      <c r="L199" s="1" t="s">
        <v>199</v>
      </c>
      <c r="N199" s="1" t="b">
        <f t="shared" si="3"/>
        <v>0</v>
      </c>
      <c r="O199" s="1" t="s">
        <v>222</v>
      </c>
    </row>
    <row r="200" spans="11:15" hidden="1" x14ac:dyDescent="0.2">
      <c r="K200" s="1">
        <v>199</v>
      </c>
      <c r="L200" s="1" t="s">
        <v>200</v>
      </c>
      <c r="N200" s="1" t="b">
        <f t="shared" si="3"/>
        <v>0</v>
      </c>
      <c r="O200" s="1" t="s">
        <v>222</v>
      </c>
    </row>
    <row r="201" spans="11:15" x14ac:dyDescent="0.2">
      <c r="K201" s="1">
        <v>200</v>
      </c>
      <c r="L201" s="1" t="s">
        <v>201</v>
      </c>
      <c r="M201" s="1" t="s">
        <v>201</v>
      </c>
      <c r="N201" s="1" t="b">
        <f t="shared" si="3"/>
        <v>1</v>
      </c>
      <c r="O201" s="1" t="s">
        <v>221</v>
      </c>
    </row>
    <row r="202" spans="11:15" hidden="1" x14ac:dyDescent="0.2">
      <c r="K202" s="1">
        <v>201</v>
      </c>
      <c r="L202" s="1" t="s">
        <v>202</v>
      </c>
      <c r="M202" s="1" t="s">
        <v>202</v>
      </c>
      <c r="N202" s="1" t="b">
        <f t="shared" si="3"/>
        <v>1</v>
      </c>
      <c r="O202" s="1" t="s">
        <v>222</v>
      </c>
    </row>
    <row r="203" spans="11:15" hidden="1" x14ac:dyDescent="0.2">
      <c r="K203" s="1">
        <v>202</v>
      </c>
      <c r="L203" s="1" t="s">
        <v>203</v>
      </c>
      <c r="M203" s="1" t="s">
        <v>203</v>
      </c>
      <c r="N203" s="1" t="b">
        <f t="shared" si="3"/>
        <v>1</v>
      </c>
      <c r="O203" s="1" t="s">
        <v>222</v>
      </c>
    </row>
    <row r="204" spans="11:15" hidden="1" x14ac:dyDescent="0.2">
      <c r="K204" s="1">
        <v>203</v>
      </c>
      <c r="L204" s="1" t="s">
        <v>204</v>
      </c>
      <c r="N204" s="1" t="b">
        <f t="shared" si="3"/>
        <v>0</v>
      </c>
      <c r="O204" s="1" t="s">
        <v>222</v>
      </c>
    </row>
    <row r="205" spans="11:15" hidden="1" x14ac:dyDescent="0.2">
      <c r="K205" s="1">
        <v>204</v>
      </c>
      <c r="L205" s="1" t="s">
        <v>205</v>
      </c>
      <c r="M205" s="1" t="s">
        <v>205</v>
      </c>
      <c r="N205" s="1" t="b">
        <f t="shared" si="3"/>
        <v>1</v>
      </c>
      <c r="O205" s="1" t="s">
        <v>222</v>
      </c>
    </row>
    <row r="206" spans="11:15" hidden="1" x14ac:dyDescent="0.2">
      <c r="K206" s="1">
        <v>205</v>
      </c>
      <c r="L206" s="1" t="s">
        <v>206</v>
      </c>
      <c r="M206" s="1" t="s">
        <v>206</v>
      </c>
      <c r="N206" s="1" t="b">
        <f t="shared" si="3"/>
        <v>1</v>
      </c>
      <c r="O206" s="1" t="s">
        <v>222</v>
      </c>
    </row>
    <row r="207" spans="11:15" hidden="1" x14ac:dyDescent="0.2">
      <c r="K207" s="1">
        <v>206</v>
      </c>
      <c r="L207" s="1" t="s">
        <v>207</v>
      </c>
      <c r="N207" s="1" t="b">
        <f t="shared" si="3"/>
        <v>0</v>
      </c>
      <c r="O207" s="1" t="s">
        <v>222</v>
      </c>
    </row>
    <row r="208" spans="11:15" hidden="1" x14ac:dyDescent="0.2">
      <c r="K208" s="1">
        <v>207</v>
      </c>
      <c r="L208" s="1" t="s">
        <v>208</v>
      </c>
      <c r="M208" s="1" t="s">
        <v>208</v>
      </c>
      <c r="N208" s="1" t="b">
        <f t="shared" si="3"/>
        <v>1</v>
      </c>
      <c r="O208" s="1" t="s">
        <v>222</v>
      </c>
    </row>
    <row r="209" spans="11:15" hidden="1" x14ac:dyDescent="0.2">
      <c r="K209" s="1">
        <v>208</v>
      </c>
      <c r="L209" s="1" t="s">
        <v>209</v>
      </c>
      <c r="N209" s="1" t="b">
        <f t="shared" si="3"/>
        <v>0</v>
      </c>
      <c r="O209" s="1" t="s">
        <v>222</v>
      </c>
    </row>
    <row r="210" spans="11:15" hidden="1" x14ac:dyDescent="0.2">
      <c r="K210" s="1">
        <v>209</v>
      </c>
      <c r="L210" s="1" t="s">
        <v>210</v>
      </c>
      <c r="N210" s="1" t="b">
        <f t="shared" si="3"/>
        <v>0</v>
      </c>
      <c r="O210" s="1" t="s">
        <v>222</v>
      </c>
    </row>
    <row r="211" spans="11:15" hidden="1" x14ac:dyDescent="0.2">
      <c r="K211" s="1">
        <v>210</v>
      </c>
      <c r="L211" s="1" t="s">
        <v>211</v>
      </c>
      <c r="M211" s="1" t="s">
        <v>211</v>
      </c>
      <c r="N211" s="1" t="b">
        <f t="shared" si="3"/>
        <v>1</v>
      </c>
      <c r="O211" s="1" t="s">
        <v>222</v>
      </c>
    </row>
    <row r="212" spans="11:15" hidden="1" x14ac:dyDescent="0.2">
      <c r="K212" s="1">
        <v>211</v>
      </c>
      <c r="L212" s="1" t="s">
        <v>212</v>
      </c>
      <c r="M212" s="1" t="s">
        <v>212</v>
      </c>
      <c r="N212" s="1" t="b">
        <f t="shared" si="3"/>
        <v>1</v>
      </c>
      <c r="O212" s="1" t="s">
        <v>222</v>
      </c>
    </row>
    <row r="213" spans="11:15" hidden="1" x14ac:dyDescent="0.2">
      <c r="K213" s="1">
        <v>212</v>
      </c>
      <c r="L213" s="1" t="s">
        <v>213</v>
      </c>
      <c r="N213" s="1" t="b">
        <f t="shared" si="3"/>
        <v>0</v>
      </c>
      <c r="O213" s="1" t="s">
        <v>222</v>
      </c>
    </row>
    <row r="214" spans="11:15" hidden="1" x14ac:dyDescent="0.2">
      <c r="K214" s="1">
        <v>213</v>
      </c>
      <c r="L214" s="1" t="s">
        <v>214</v>
      </c>
      <c r="M214" s="1" t="s">
        <v>214</v>
      </c>
      <c r="N214" s="1" t="b">
        <f t="shared" si="3"/>
        <v>1</v>
      </c>
      <c r="O214" s="1" t="s">
        <v>222</v>
      </c>
    </row>
    <row r="215" spans="11:15" hidden="1" x14ac:dyDescent="0.2">
      <c r="K215" s="1">
        <v>214</v>
      </c>
      <c r="L215" s="1" t="s">
        <v>215</v>
      </c>
      <c r="M215" s="1" t="s">
        <v>215</v>
      </c>
      <c r="N215" s="1" t="b">
        <f t="shared" si="3"/>
        <v>1</v>
      </c>
      <c r="O215" s="1" t="s">
        <v>222</v>
      </c>
    </row>
    <row r="216" spans="11:15" hidden="1" x14ac:dyDescent="0.2">
      <c r="K216" s="1">
        <v>215</v>
      </c>
      <c r="L216" s="1" t="s">
        <v>216</v>
      </c>
      <c r="M216" s="1" t="s">
        <v>216</v>
      </c>
      <c r="N216" s="1" t="b">
        <f t="shared" si="3"/>
        <v>1</v>
      </c>
      <c r="O216" s="1" t="s">
        <v>222</v>
      </c>
    </row>
    <row r="217" spans="11:15" hidden="1" x14ac:dyDescent="0.2">
      <c r="K217" s="1">
        <v>216</v>
      </c>
      <c r="L217" s="1" t="s">
        <v>217</v>
      </c>
      <c r="N217" s="1" t="b">
        <f t="shared" si="3"/>
        <v>0</v>
      </c>
      <c r="O217" s="1" t="s">
        <v>222</v>
      </c>
    </row>
    <row r="218" spans="11:15" x14ac:dyDescent="0.2">
      <c r="K218" s="1">
        <v>217</v>
      </c>
      <c r="L218" s="1" t="s">
        <v>218</v>
      </c>
      <c r="M218" s="1" t="s">
        <v>218</v>
      </c>
      <c r="N218" s="1" t="b">
        <f t="shared" si="3"/>
        <v>1</v>
      </c>
      <c r="O218" s="1" t="s">
        <v>221</v>
      </c>
    </row>
    <row r="219" spans="11:15" hidden="1" x14ac:dyDescent="0.2">
      <c r="K219" s="1">
        <v>218</v>
      </c>
      <c r="L219" s="1" t="s">
        <v>219</v>
      </c>
      <c r="M219" s="1" t="s">
        <v>219</v>
      </c>
      <c r="N219" s="1" t="b">
        <f t="shared" si="3"/>
        <v>1</v>
      </c>
      <c r="O219" s="1" t="s">
        <v>222</v>
      </c>
    </row>
    <row r="220" spans="11:15" hidden="1" x14ac:dyDescent="0.2">
      <c r="K220" s="1">
        <v>219</v>
      </c>
      <c r="L220" s="1" t="s">
        <v>220</v>
      </c>
      <c r="N220" s="1" t="b">
        <f t="shared" si="3"/>
        <v>0</v>
      </c>
      <c r="O220" s="1" t="s">
        <v>222</v>
      </c>
    </row>
  </sheetData>
  <autoFilter ref="K1:O220" xr:uid="{00000000-0009-0000-0000-000000000000}">
    <filterColumn colId="3">
      <filters>
        <filter val="ИСТИНА"/>
      </filters>
    </filterColumn>
    <filterColumn colId="4">
      <filters>
        <filter val="Управляющая компания"/>
      </filters>
    </filterColumn>
  </autoFilter>
  <phoneticPr fontId="43" type="noConversion"/>
  <conditionalFormatting sqref="A1:XFD1048576">
    <cfRule type="cellIs" dxfId="0" priority="1" stopIfTrue="1" operator="equal">
      <formula>TRUE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pageSetUpPr fitToPage="1"/>
  </sheetPr>
  <dimension ref="A1:G95"/>
  <sheetViews>
    <sheetView view="pageBreakPreview" topLeftCell="A68" zoomScale="70" zoomScaleNormal="100" zoomScaleSheetLayoutView="70" workbookViewId="0">
      <selection activeCell="A24" sqref="A24:B24"/>
    </sheetView>
  </sheetViews>
  <sheetFormatPr defaultRowHeight="12.75" x14ac:dyDescent="0.2"/>
  <cols>
    <col min="1" max="1" width="96.42578125" customWidth="1"/>
    <col min="2" max="2" width="17" customWidth="1"/>
    <col min="3" max="4" width="13.85546875" customWidth="1"/>
    <col min="5" max="5" width="14.140625" customWidth="1"/>
    <col min="6" max="6" width="12.42578125" customWidth="1"/>
    <col min="7" max="7" width="12.42578125" bestFit="1" customWidth="1"/>
  </cols>
  <sheetData>
    <row r="1" spans="1:4" ht="16.5" customHeight="1" x14ac:dyDescent="0.25">
      <c r="A1" s="269" t="s">
        <v>224</v>
      </c>
      <c r="B1" s="269"/>
      <c r="C1" s="54"/>
      <c r="D1" s="54"/>
    </row>
    <row r="2" spans="1:4" ht="16.5" x14ac:dyDescent="0.25">
      <c r="A2" s="270" t="s">
        <v>225</v>
      </c>
      <c r="B2" s="270"/>
      <c r="C2" s="54"/>
      <c r="D2" s="54"/>
    </row>
    <row r="3" spans="1:4" ht="16.5" x14ac:dyDescent="0.25">
      <c r="A3" s="270" t="s">
        <v>226</v>
      </c>
      <c r="B3" s="270"/>
      <c r="C3" s="54"/>
      <c r="D3" s="54"/>
    </row>
    <row r="4" spans="1:4" s="3" customFormat="1" ht="15.75" x14ac:dyDescent="0.25">
      <c r="A4" s="184" t="s">
        <v>494</v>
      </c>
      <c r="B4" s="184"/>
    </row>
    <row r="5" spans="1:4" ht="15.75" x14ac:dyDescent="0.25">
      <c r="A5" s="184" t="s">
        <v>20</v>
      </c>
      <c r="B5" s="184"/>
      <c r="C5" s="54"/>
      <c r="D5" s="54"/>
    </row>
    <row r="6" spans="1:4" ht="5.25" customHeight="1" x14ac:dyDescent="0.25">
      <c r="A6" s="184"/>
      <c r="B6" s="4"/>
      <c r="C6" s="55"/>
      <c r="D6" s="54"/>
    </row>
    <row r="7" spans="1:4" s="3" customFormat="1" ht="16.5" thickBot="1" x14ac:dyDescent="0.3">
      <c r="A7" s="186"/>
      <c r="B7" s="4"/>
      <c r="C7" s="4"/>
    </row>
    <row r="8" spans="1:4" ht="15.75" customHeight="1" x14ac:dyDescent="0.2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3.5" thickBot="1" x14ac:dyDescent="0.25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3352010.6855650614</v>
      </c>
      <c r="C10" s="226"/>
      <c r="D10" s="226"/>
    </row>
    <row r="11" spans="1:4" s="227" customFormat="1" ht="16.5" hidden="1" thickBot="1" x14ac:dyDescent="0.3">
      <c r="A11" s="228" t="s">
        <v>232</v>
      </c>
      <c r="B11" s="229"/>
      <c r="C11" s="230"/>
      <c r="D11" s="230"/>
    </row>
    <row r="12" spans="1:4" ht="15.75" x14ac:dyDescent="0.25">
      <c r="A12" s="231" t="s">
        <v>233</v>
      </c>
      <c r="B12" s="210"/>
      <c r="C12" s="5" t="s">
        <v>234</v>
      </c>
      <c r="D12" s="6" t="s">
        <v>234</v>
      </c>
    </row>
    <row r="13" spans="1:4" s="3" customFormat="1" ht="15.75" hidden="1" x14ac:dyDescent="0.25">
      <c r="A13" s="7" t="s">
        <v>235</v>
      </c>
      <c r="B13" s="8">
        <v>6091.9</v>
      </c>
      <c r="C13" s="9" t="s">
        <v>234</v>
      </c>
      <c r="D13" s="10" t="s">
        <v>234</v>
      </c>
    </row>
    <row r="14" spans="1:4" s="3" customFormat="1" ht="15.75" hidden="1" x14ac:dyDescent="0.25">
      <c r="A14" s="7" t="s">
        <v>236</v>
      </c>
      <c r="B14" s="8">
        <v>747.8</v>
      </c>
      <c r="C14" s="9"/>
      <c r="D14" s="10"/>
    </row>
    <row r="15" spans="1:4" s="3" customFormat="1" ht="15.75" hidden="1" x14ac:dyDescent="0.25">
      <c r="A15" s="123" t="s">
        <v>237</v>
      </c>
      <c r="B15" s="11">
        <f>B13+B14</f>
        <v>6839.7</v>
      </c>
      <c r="C15" s="9"/>
      <c r="D15" s="10"/>
    </row>
    <row r="16" spans="1:4" s="3" customFormat="1" ht="15.75" hidden="1" x14ac:dyDescent="0.25">
      <c r="A16" s="123" t="s">
        <v>238</v>
      </c>
      <c r="B16" s="11">
        <f>2767.2+1909.3/3</f>
        <v>3403.6333333333332</v>
      </c>
      <c r="C16" s="9" t="s">
        <v>234</v>
      </c>
      <c r="D16" s="10" t="s">
        <v>234</v>
      </c>
    </row>
    <row r="17" spans="1:7" s="156" customFormat="1" ht="15.75" hidden="1" x14ac:dyDescent="0.25">
      <c r="A17" s="7" t="s">
        <v>239</v>
      </c>
      <c r="B17" s="8">
        <v>0</v>
      </c>
      <c r="C17" s="158" t="s">
        <v>234</v>
      </c>
      <c r="D17" s="155" t="s">
        <v>234</v>
      </c>
    </row>
    <row r="18" spans="1:7" s="3" customFormat="1" ht="15.75" hidden="1" x14ac:dyDescent="0.25">
      <c r="A18" s="7" t="s">
        <v>240</v>
      </c>
      <c r="B18" s="8">
        <v>691.5</v>
      </c>
      <c r="C18" s="9" t="s">
        <v>234</v>
      </c>
      <c r="D18" s="10" t="s">
        <v>234</v>
      </c>
    </row>
    <row r="19" spans="1:7" s="3" customFormat="1" ht="15.75" hidden="1" x14ac:dyDescent="0.25">
      <c r="A19" s="7" t="s">
        <v>241</v>
      </c>
      <c r="B19" s="8">
        <v>1162</v>
      </c>
      <c r="C19" s="9" t="s">
        <v>234</v>
      </c>
      <c r="D19" s="10" t="s">
        <v>234</v>
      </c>
    </row>
    <row r="20" spans="1:7" s="3" customFormat="1" ht="15.75" hidden="1" x14ac:dyDescent="0.25">
      <c r="A20" s="7" t="s">
        <v>242</v>
      </c>
      <c r="B20" s="8">
        <v>1862</v>
      </c>
      <c r="C20" s="9"/>
      <c r="D20" s="10"/>
    </row>
    <row r="21" spans="1:7" s="3" customFormat="1" ht="15.75" hidden="1" x14ac:dyDescent="0.25">
      <c r="A21" s="7" t="s">
        <v>243</v>
      </c>
      <c r="B21" s="8">
        <v>3</v>
      </c>
      <c r="C21" s="9" t="s">
        <v>234</v>
      </c>
      <c r="D21" s="10" t="s">
        <v>234</v>
      </c>
    </row>
    <row r="22" spans="1:7" s="3" customFormat="1" ht="15.75" hidden="1" x14ac:dyDescent="0.25">
      <c r="A22" s="7" t="s">
        <v>244</v>
      </c>
      <c r="B22" s="8">
        <v>229</v>
      </c>
      <c r="C22" s="9"/>
      <c r="D22" s="10"/>
    </row>
    <row r="23" spans="1:7" ht="15.75" x14ac:dyDescent="0.25">
      <c r="A23" s="123"/>
      <c r="B23" s="11"/>
      <c r="C23" s="9"/>
      <c r="D23" s="10"/>
      <c r="E23" s="54">
        <v>10</v>
      </c>
      <c r="F23" s="54">
        <v>2</v>
      </c>
      <c r="G23" s="54"/>
    </row>
    <row r="24" spans="1:7" s="3" customFormat="1" ht="15.75" x14ac:dyDescent="0.25">
      <c r="A24" s="259" t="s">
        <v>317</v>
      </c>
      <c r="B24" s="256">
        <f>VLOOKUP(A5,мкд!W:X,2,FALSE)</f>
        <v>1671980.6400000001</v>
      </c>
      <c r="C24" s="9"/>
      <c r="D24" s="10"/>
      <c r="E24" s="194">
        <v>20.419999999999998</v>
      </c>
      <c r="F24" s="195">
        <v>22.858147999999996</v>
      </c>
    </row>
    <row r="25" spans="1:7" s="3" customFormat="1" ht="15.75" x14ac:dyDescent="0.25">
      <c r="A25" s="124" t="s">
        <v>318</v>
      </c>
      <c r="B25" s="249">
        <f>VLOOKUP(A5,мкд!W:Y,3,FALSE)</f>
        <v>1638588.59</v>
      </c>
      <c r="C25" s="9"/>
      <c r="D25" s="10"/>
    </row>
    <row r="26" spans="1:7" s="3" customFormat="1" ht="15.75" x14ac:dyDescent="0.25">
      <c r="A26" s="124" t="s">
        <v>348</v>
      </c>
      <c r="B26" s="14">
        <v>218194.13</v>
      </c>
      <c r="C26" s="9"/>
      <c r="D26" s="10"/>
    </row>
    <row r="27" spans="1:7" s="3" customFormat="1" ht="15.75" x14ac:dyDescent="0.25">
      <c r="A27" s="124" t="s">
        <v>349</v>
      </c>
      <c r="B27" s="14">
        <v>172319.03</v>
      </c>
      <c r="C27" s="9"/>
      <c r="D27" s="10"/>
    </row>
    <row r="28" spans="1:7" s="3" customFormat="1" ht="15.75" x14ac:dyDescent="0.25">
      <c r="A28" s="124" t="s">
        <v>391</v>
      </c>
      <c r="B28" s="14">
        <v>9097.23</v>
      </c>
      <c r="C28" s="9"/>
      <c r="D28" s="10"/>
    </row>
    <row r="29" spans="1:7" s="3" customFormat="1" ht="15.75" x14ac:dyDescent="0.25">
      <c r="A29" s="124" t="s">
        <v>250</v>
      </c>
      <c r="B29" s="11"/>
      <c r="C29" s="9"/>
      <c r="D29" s="10"/>
    </row>
    <row r="30" spans="1:7" ht="15.75" x14ac:dyDescent="0.25">
      <c r="A30" s="125"/>
      <c r="B30" s="11"/>
      <c r="C30" s="9"/>
      <c r="D30" s="10"/>
      <c r="E30" s="54"/>
      <c r="F30" s="54"/>
      <c r="G30" s="54"/>
    </row>
    <row r="31" spans="1:7" ht="14.25" customHeight="1" x14ac:dyDescent="0.25">
      <c r="A31" s="232" t="s">
        <v>251</v>
      </c>
      <c r="B31" s="11"/>
      <c r="C31" s="9"/>
      <c r="D31" s="10"/>
      <c r="E31" s="54"/>
      <c r="F31" s="54"/>
      <c r="G31" s="54"/>
    </row>
    <row r="32" spans="1:7" s="68" customFormat="1" ht="31.5" x14ac:dyDescent="0.25">
      <c r="A32" s="126" t="s">
        <v>252</v>
      </c>
      <c r="B32" s="121">
        <f>SUM(B33:B41)</f>
        <v>152924.81000000003</v>
      </c>
      <c r="C32" s="9"/>
      <c r="D32" s="10"/>
      <c r="E32" s="67">
        <f>(B86-B24-B26)/1.2/1.03</f>
        <v>129047.91737204291</v>
      </c>
      <c r="F32" s="67" t="e">
        <f>(#REF!-#REF!-#REF!)/1.2/1.03</f>
        <v>#REF!</v>
      </c>
      <c r="G32" s="67" t="e">
        <f>(#REF!-#REF!-#REF!)/1.2/1.03</f>
        <v>#REF!</v>
      </c>
    </row>
    <row r="33" spans="1:7" ht="15.75" x14ac:dyDescent="0.25">
      <c r="A33" s="127" t="s">
        <v>253</v>
      </c>
      <c r="B33" s="237">
        <v>131915.11000000002</v>
      </c>
      <c r="C33" s="9"/>
      <c r="D33" s="10">
        <v>44756.44</v>
      </c>
      <c r="E33" s="54"/>
      <c r="F33" s="54"/>
      <c r="G33" s="54"/>
    </row>
    <row r="34" spans="1:7" ht="15.75" hidden="1" x14ac:dyDescent="0.25">
      <c r="A34" s="159" t="s">
        <v>451</v>
      </c>
      <c r="B34" s="151"/>
      <c r="C34" s="9"/>
      <c r="D34" s="10">
        <v>3447.37</v>
      </c>
      <c r="E34" s="54"/>
      <c r="F34" s="54"/>
      <c r="G34" s="54"/>
    </row>
    <row r="35" spans="1:7" ht="15.75" hidden="1" x14ac:dyDescent="0.25">
      <c r="A35" s="159" t="s">
        <v>428</v>
      </c>
      <c r="B35" s="151"/>
      <c r="C35" s="9"/>
      <c r="D35" s="10">
        <v>0</v>
      </c>
      <c r="E35" s="54"/>
      <c r="F35" s="54"/>
      <c r="G35" s="54"/>
    </row>
    <row r="36" spans="1:7" ht="15.75" hidden="1" x14ac:dyDescent="0.25">
      <c r="A36" s="159" t="s">
        <v>451</v>
      </c>
      <c r="B36" s="160"/>
      <c r="C36" s="9" t="s">
        <v>234</v>
      </c>
      <c r="D36" s="10">
        <v>21260.6</v>
      </c>
      <c r="E36" s="54"/>
      <c r="F36" s="54"/>
      <c r="G36" s="54"/>
    </row>
    <row r="37" spans="1:7" ht="15.75" x14ac:dyDescent="0.25">
      <c r="A37" s="150" t="s">
        <v>429</v>
      </c>
      <c r="B37" s="153">
        <v>21009.7</v>
      </c>
      <c r="C37" s="9"/>
      <c r="D37" s="10">
        <v>228459.5</v>
      </c>
      <c r="E37" s="54"/>
      <c r="F37" s="54"/>
      <c r="G37" s="54"/>
    </row>
    <row r="38" spans="1:7" ht="15.75" hidden="1" x14ac:dyDescent="0.25">
      <c r="A38" s="150" t="s">
        <v>452</v>
      </c>
      <c r="B38" s="153"/>
      <c r="C38" s="9"/>
      <c r="D38" s="10">
        <v>0</v>
      </c>
      <c r="E38" s="54"/>
      <c r="F38" s="54"/>
      <c r="G38" s="54"/>
    </row>
    <row r="39" spans="1:7" ht="15.75" hidden="1" x14ac:dyDescent="0.25">
      <c r="A39" s="150" t="s">
        <v>545</v>
      </c>
      <c r="B39" s="153"/>
      <c r="C39" s="9"/>
      <c r="D39" s="10">
        <v>0</v>
      </c>
      <c r="E39" s="54"/>
      <c r="F39" s="54"/>
      <c r="G39" s="54"/>
    </row>
    <row r="40" spans="1:7" ht="15.75" hidden="1" x14ac:dyDescent="0.25">
      <c r="A40" s="150" t="s">
        <v>370</v>
      </c>
      <c r="B40" s="153"/>
      <c r="C40" s="9"/>
      <c r="D40" s="10"/>
      <c r="E40" s="54"/>
      <c r="F40" s="54"/>
      <c r="G40" s="54"/>
    </row>
    <row r="41" spans="1:7" ht="15.75" hidden="1" x14ac:dyDescent="0.25">
      <c r="A41" s="150" t="s">
        <v>453</v>
      </c>
      <c r="B41" s="153"/>
      <c r="C41" s="9"/>
      <c r="D41" s="10">
        <v>64111.29</v>
      </c>
      <c r="E41" s="54"/>
      <c r="F41" s="54"/>
      <c r="G41" s="54"/>
    </row>
    <row r="42" spans="1:7" s="68" customFormat="1" ht="47.25" x14ac:dyDescent="0.25">
      <c r="A42" s="126" t="s">
        <v>261</v>
      </c>
      <c r="B42" s="121">
        <f>SUM(B43:B45)</f>
        <v>41854.596568333669</v>
      </c>
      <c r="C42" s="9"/>
      <c r="D42" s="10"/>
      <c r="E42" s="67"/>
      <c r="F42" s="67"/>
      <c r="G42" s="67"/>
    </row>
    <row r="43" spans="1:7" ht="15.75" x14ac:dyDescent="0.25">
      <c r="A43" s="127" t="s">
        <v>262</v>
      </c>
      <c r="B43" s="11">
        <v>1890.18</v>
      </c>
      <c r="C43" s="23"/>
      <c r="D43" s="24">
        <v>9752.2999999999993</v>
      </c>
      <c r="E43" s="54"/>
      <c r="F43" s="54"/>
      <c r="G43" s="54"/>
    </row>
    <row r="44" spans="1:7" ht="15.75" hidden="1" x14ac:dyDescent="0.25">
      <c r="A44" s="127" t="s">
        <v>263</v>
      </c>
      <c r="B44" s="11"/>
      <c r="C44" s="23"/>
      <c r="D44" s="24">
        <v>9594.1</v>
      </c>
      <c r="E44" s="54"/>
      <c r="F44" s="54"/>
      <c r="G44" s="54"/>
    </row>
    <row r="45" spans="1:7" ht="15.75" x14ac:dyDescent="0.25">
      <c r="A45" s="129" t="s">
        <v>264</v>
      </c>
      <c r="B45" s="11">
        <f>'[4]32тарифы'!D163*B15*1.0952+198.24*1.12</f>
        <v>39964.416568333669</v>
      </c>
      <c r="C45" s="23"/>
      <c r="D45" s="24"/>
      <c r="E45" s="54"/>
      <c r="F45" s="54"/>
      <c r="G45" s="54"/>
    </row>
    <row r="46" spans="1:7" s="55" customFormat="1" ht="15.75" x14ac:dyDescent="0.25">
      <c r="A46" s="126" t="s">
        <v>265</v>
      </c>
      <c r="B46" s="121">
        <f>SUM(B47:B65)</f>
        <v>256277.34</v>
      </c>
      <c r="C46" s="9"/>
      <c r="D46" s="10"/>
    </row>
    <row r="47" spans="1:7" ht="15.75" x14ac:dyDescent="0.25">
      <c r="A47" s="127" t="s">
        <v>324</v>
      </c>
      <c r="B47" s="11">
        <v>2904.24</v>
      </c>
      <c r="C47" s="9"/>
      <c r="D47" s="10"/>
      <c r="E47" s="54" t="s">
        <v>267</v>
      </c>
      <c r="F47" s="54"/>
      <c r="G47" s="54"/>
    </row>
    <row r="48" spans="1:7" ht="15.75" x14ac:dyDescent="0.25">
      <c r="A48" s="127" t="s">
        <v>315</v>
      </c>
      <c r="B48" s="11">
        <v>3526.62</v>
      </c>
      <c r="C48" s="9"/>
      <c r="D48" s="10"/>
      <c r="E48" s="54" t="s">
        <v>269</v>
      </c>
      <c r="F48" s="54"/>
      <c r="G48" s="54"/>
    </row>
    <row r="49" spans="1:5" ht="15.75" x14ac:dyDescent="0.25">
      <c r="A49" s="26" t="s">
        <v>270</v>
      </c>
      <c r="B49" s="11">
        <v>165500</v>
      </c>
      <c r="C49" s="9">
        <v>3</v>
      </c>
      <c r="D49" s="10">
        <v>4600</v>
      </c>
      <c r="E49" s="54">
        <f>D49*C49*12</f>
        <v>165600</v>
      </c>
    </row>
    <row r="50" spans="1:5" ht="17.25" customHeight="1" x14ac:dyDescent="0.25">
      <c r="A50" s="95" t="s">
        <v>518</v>
      </c>
      <c r="B50" s="8">
        <v>38739.01</v>
      </c>
      <c r="C50" s="9">
        <v>3</v>
      </c>
      <c r="D50" s="10">
        <f>4150.31*3</f>
        <v>12450.93</v>
      </c>
      <c r="E50" s="54"/>
    </row>
    <row r="51" spans="1:5" ht="15.75" x14ac:dyDescent="0.25">
      <c r="A51" s="26" t="s">
        <v>446</v>
      </c>
      <c r="B51" s="11">
        <v>14700</v>
      </c>
      <c r="C51" s="9">
        <v>3</v>
      </c>
      <c r="D51" s="10">
        <v>4190</v>
      </c>
      <c r="E51" s="54"/>
    </row>
    <row r="52" spans="1:5" ht="15.75" x14ac:dyDescent="0.25">
      <c r="A52" s="26" t="s">
        <v>281</v>
      </c>
      <c r="B52" s="11">
        <v>284.98</v>
      </c>
      <c r="C52" s="9">
        <v>3</v>
      </c>
      <c r="D52" s="10">
        <v>0</v>
      </c>
      <c r="E52" s="54"/>
    </row>
    <row r="53" spans="1:5" ht="17.25" customHeight="1" x14ac:dyDescent="0.25">
      <c r="A53" s="95" t="s">
        <v>519</v>
      </c>
      <c r="B53" s="8">
        <v>15912</v>
      </c>
      <c r="C53" s="9">
        <v>3</v>
      </c>
      <c r="D53" s="10">
        <v>105.14</v>
      </c>
      <c r="E53" s="54"/>
    </row>
    <row r="54" spans="1:5" ht="15.75" x14ac:dyDescent="0.25">
      <c r="A54" s="26" t="s">
        <v>275</v>
      </c>
      <c r="B54" s="8">
        <v>8133.61</v>
      </c>
      <c r="C54" s="9">
        <v>0</v>
      </c>
      <c r="D54" s="10">
        <v>522.99</v>
      </c>
      <c r="E54" s="54"/>
    </row>
    <row r="55" spans="1:5" ht="15.75" hidden="1" x14ac:dyDescent="0.25">
      <c r="A55" s="95" t="s">
        <v>344</v>
      </c>
      <c r="B55" s="11"/>
      <c r="C55" s="9">
        <v>0</v>
      </c>
      <c r="D55" s="28">
        <v>695.13</v>
      </c>
      <c r="E55" s="54"/>
    </row>
    <row r="56" spans="1:5" s="3" customFormat="1" ht="15.75" hidden="1" x14ac:dyDescent="0.25">
      <c r="A56" s="95" t="s">
        <v>277</v>
      </c>
      <c r="B56" s="11">
        <v>0</v>
      </c>
      <c r="C56" s="9"/>
      <c r="D56" s="28"/>
    </row>
    <row r="57" spans="1:5" ht="15.75" hidden="1" x14ac:dyDescent="0.25">
      <c r="A57" s="95" t="s">
        <v>312</v>
      </c>
      <c r="B57" s="11">
        <v>0</v>
      </c>
      <c r="C57" s="9">
        <v>0</v>
      </c>
      <c r="D57" s="10">
        <f>10695.76/1.18</f>
        <v>9064.203389830509</v>
      </c>
      <c r="E57" s="54"/>
    </row>
    <row r="58" spans="1:5" ht="15.75" hidden="1" x14ac:dyDescent="0.25">
      <c r="A58" s="95" t="s">
        <v>313</v>
      </c>
      <c r="B58" s="11">
        <v>0</v>
      </c>
      <c r="C58" s="9">
        <v>0</v>
      </c>
      <c r="D58" s="10">
        <f>2300/1.18</f>
        <v>1949.1525423728815</v>
      </c>
      <c r="E58" s="54"/>
    </row>
    <row r="59" spans="1:5" ht="15.75" hidden="1" x14ac:dyDescent="0.25">
      <c r="A59" s="95" t="s">
        <v>278</v>
      </c>
      <c r="B59" s="8">
        <f>B13*'[4]32тарифы'!D184</f>
        <v>0</v>
      </c>
      <c r="C59" s="9">
        <v>0</v>
      </c>
      <c r="D59" s="10">
        <v>0</v>
      </c>
      <c r="E59" s="54"/>
    </row>
    <row r="60" spans="1:5" ht="15.75" hidden="1" x14ac:dyDescent="0.25">
      <c r="A60" s="19" t="s">
        <v>279</v>
      </c>
      <c r="B60" s="11">
        <v>0</v>
      </c>
      <c r="C60" s="9"/>
      <c r="D60" s="10"/>
      <c r="E60" s="54"/>
    </row>
    <row r="61" spans="1:5" ht="15.75" hidden="1" x14ac:dyDescent="0.25">
      <c r="A61" s="19" t="s">
        <v>280</v>
      </c>
      <c r="B61" s="11">
        <v>0</v>
      </c>
      <c r="C61" s="9"/>
      <c r="D61" s="10"/>
      <c r="E61" s="54"/>
    </row>
    <row r="62" spans="1:5" ht="15.75" hidden="1" x14ac:dyDescent="0.25">
      <c r="A62" s="127" t="s">
        <v>336</v>
      </c>
      <c r="B62" s="11">
        <v>0</v>
      </c>
      <c r="C62" s="9"/>
      <c r="D62" s="10">
        <v>0</v>
      </c>
      <c r="E62" s="54"/>
    </row>
    <row r="63" spans="1:5" ht="15.75" hidden="1" x14ac:dyDescent="0.25">
      <c r="A63" s="127" t="s">
        <v>325</v>
      </c>
      <c r="B63" s="11">
        <v>0</v>
      </c>
      <c r="C63" s="9"/>
      <c r="D63" s="10">
        <v>0</v>
      </c>
      <c r="E63" s="54"/>
    </row>
    <row r="64" spans="1:5" ht="15.75" x14ac:dyDescent="0.25">
      <c r="A64" s="19" t="s">
        <v>283</v>
      </c>
      <c r="B64" s="132">
        <f>VLOOKUP(A5,'[2]МКД 33'!$AI:$FO,137,FALSE)</f>
        <v>2376.88</v>
      </c>
      <c r="C64" s="30">
        <v>89</v>
      </c>
      <c r="D64" s="10">
        <v>2</v>
      </c>
      <c r="E64" s="54">
        <v>0</v>
      </c>
    </row>
    <row r="65" spans="1:5" ht="15" customHeight="1" x14ac:dyDescent="0.25">
      <c r="A65" s="19" t="s">
        <v>520</v>
      </c>
      <c r="B65" s="132">
        <v>4200</v>
      </c>
      <c r="C65" s="32"/>
      <c r="D65" s="24">
        <v>0</v>
      </c>
      <c r="E65" s="54"/>
    </row>
    <row r="66" spans="1:5" s="55" customFormat="1" ht="15.75" x14ac:dyDescent="0.25">
      <c r="A66" s="133" t="s">
        <v>285</v>
      </c>
      <c r="B66" s="121">
        <f>SUM(B67:B74)</f>
        <v>713022.57712671999</v>
      </c>
      <c r="C66" s="23"/>
      <c r="D66" s="24"/>
      <c r="E66" s="250">
        <f>B80+B46+438.95-3448.31</f>
        <v>272580.15000000002</v>
      </c>
    </row>
    <row r="67" spans="1:5" ht="15.75" hidden="1" x14ac:dyDescent="0.25">
      <c r="A67" s="19" t="s">
        <v>286</v>
      </c>
      <c r="B67" s="11">
        <v>0</v>
      </c>
      <c r="C67" s="23"/>
      <c r="D67" s="24"/>
      <c r="E67" s="54"/>
    </row>
    <row r="68" spans="1:5" ht="15.75" x14ac:dyDescent="0.25">
      <c r="A68" s="127" t="s">
        <v>287</v>
      </c>
      <c r="B68" s="135">
        <f>46.2*B15</f>
        <v>315994.14</v>
      </c>
      <c r="C68" s="23"/>
      <c r="D68" s="24"/>
      <c r="E68" s="54"/>
    </row>
    <row r="69" spans="1:5" ht="15.75" hidden="1" x14ac:dyDescent="0.25">
      <c r="A69" s="19" t="s">
        <v>288</v>
      </c>
      <c r="B69" s="11">
        <v>0</v>
      </c>
      <c r="C69" s="23"/>
      <c r="D69" s="24"/>
      <c r="E69" s="54"/>
    </row>
    <row r="70" spans="1:5" ht="15.75" x14ac:dyDescent="0.25">
      <c r="A70" s="129" t="s">
        <v>289</v>
      </c>
      <c r="B70" s="11">
        <f>1.35*B15</f>
        <v>9233.5950000000012</v>
      </c>
      <c r="C70" s="23"/>
      <c r="D70" s="24"/>
      <c r="E70" s="54"/>
    </row>
    <row r="71" spans="1:5" ht="15.75" x14ac:dyDescent="0.25">
      <c r="A71" s="129" t="s">
        <v>290</v>
      </c>
      <c r="B71" s="11">
        <f>5.06*B15</f>
        <v>34608.881999999998</v>
      </c>
      <c r="C71" s="23"/>
      <c r="D71" s="24"/>
      <c r="E71" s="54"/>
    </row>
    <row r="72" spans="1:5" s="3" customFormat="1" ht="15.75" x14ac:dyDescent="0.25">
      <c r="A72" s="129" t="s">
        <v>291</v>
      </c>
      <c r="B72" s="11">
        <f>17.68*B15</f>
        <v>120925.89599999999</v>
      </c>
      <c r="C72" s="23"/>
      <c r="D72" s="24"/>
    </row>
    <row r="73" spans="1:5" s="3" customFormat="1" ht="15.75" x14ac:dyDescent="0.25">
      <c r="A73" s="129" t="s">
        <v>292</v>
      </c>
      <c r="B73" s="11">
        <f>11853.46*1.04*1.12*1.09</f>
        <v>15049.53212672</v>
      </c>
      <c r="C73" s="23"/>
      <c r="D73" s="24"/>
    </row>
    <row r="74" spans="1:5" ht="15.75" x14ac:dyDescent="0.25">
      <c r="A74" s="129" t="s">
        <v>293</v>
      </c>
      <c r="B74" s="11">
        <f>100087.05*1.04+100000*1.12*1.01</f>
        <v>217210.53200000001</v>
      </c>
      <c r="C74" s="23"/>
      <c r="D74" s="24"/>
      <c r="E74" s="54"/>
    </row>
    <row r="75" spans="1:5" ht="41.25" x14ac:dyDescent="0.25">
      <c r="A75" s="136" t="s">
        <v>447</v>
      </c>
      <c r="B75" s="121">
        <f>SUM(B76:B76)</f>
        <v>226925.44000000003</v>
      </c>
      <c r="C75" s="23"/>
      <c r="D75" s="24"/>
      <c r="E75" s="54"/>
    </row>
    <row r="76" spans="1:5" ht="15.75" x14ac:dyDescent="0.25">
      <c r="A76" s="129" t="s">
        <v>295</v>
      </c>
      <c r="B76" s="11">
        <f>185000*1.12*1.0952</f>
        <v>226925.44000000003</v>
      </c>
      <c r="C76" s="23"/>
      <c r="D76" s="24"/>
      <c r="E76" s="54"/>
    </row>
    <row r="77" spans="1:5" s="55" customFormat="1" ht="15.75" x14ac:dyDescent="0.25">
      <c r="A77" s="133" t="s">
        <v>296</v>
      </c>
      <c r="B77" s="121">
        <f>SUM(B78:B81)</f>
        <v>267310.76694559783</v>
      </c>
      <c r="C77" s="23"/>
      <c r="D77" s="24"/>
    </row>
    <row r="78" spans="1:5" ht="15.75" x14ac:dyDescent="0.25">
      <c r="A78" s="137" t="s">
        <v>297</v>
      </c>
      <c r="B78" s="11">
        <f>'[4]32тарифы'!D170*B15*1.12*1.09</f>
        <v>179924.93786152822</v>
      </c>
      <c r="C78" s="23"/>
      <c r="D78" s="24"/>
      <c r="E78" s="54"/>
    </row>
    <row r="79" spans="1:5" s="3" customFormat="1" ht="17.25" customHeight="1" x14ac:dyDescent="0.25">
      <c r="A79" s="137" t="s">
        <v>298</v>
      </c>
      <c r="B79" s="11">
        <f>(B26/1.2)*30%</f>
        <v>54548.532500000001</v>
      </c>
      <c r="C79" s="23"/>
      <c r="D79" s="24"/>
    </row>
    <row r="80" spans="1:5" ht="15.75" x14ac:dyDescent="0.25">
      <c r="A80" s="247" t="s">
        <v>448</v>
      </c>
      <c r="B80" s="11">
        <f>12019.32+7292.85</f>
        <v>19312.169999999998</v>
      </c>
      <c r="C80" s="23"/>
      <c r="D80" s="24">
        <f>6357.93+952.32+960.96+2304.96</f>
        <v>10576.169999999998</v>
      </c>
      <c r="E80" s="54"/>
    </row>
    <row r="81" spans="1:4" ht="15.75" x14ac:dyDescent="0.25">
      <c r="A81" s="247" t="s">
        <v>449</v>
      </c>
      <c r="B81" s="11">
        <f>'[4]32тарифы'!D173*B13*1.12*1.01</f>
        <v>13525.126584069632</v>
      </c>
      <c r="C81" s="23"/>
      <c r="D81" s="24"/>
    </row>
    <row r="82" spans="1:4" ht="15.75" x14ac:dyDescent="0.25">
      <c r="A82" s="233" t="s">
        <v>301</v>
      </c>
      <c r="B82" s="14">
        <f>B32+B42+B46+B66+B75+B77</f>
        <v>1658315.5306406515</v>
      </c>
      <c r="C82" s="23"/>
      <c r="D82" s="24"/>
    </row>
    <row r="83" spans="1:4" ht="15.75" x14ac:dyDescent="0.25">
      <c r="A83" s="139" t="s">
        <v>302</v>
      </c>
      <c r="B83" s="11">
        <f>B82*0.03</f>
        <v>49749.46591921954</v>
      </c>
      <c r="C83" s="23"/>
      <c r="D83" s="24"/>
    </row>
    <row r="84" spans="1:4" s="68" customFormat="1" ht="15.75" x14ac:dyDescent="0.25">
      <c r="A84" s="140" t="s">
        <v>303</v>
      </c>
      <c r="B84" s="121">
        <f>B82+B83</f>
        <v>1708064.9965598709</v>
      </c>
      <c r="C84" s="23"/>
      <c r="D84" s="24"/>
    </row>
    <row r="85" spans="1:4" s="3" customFormat="1" ht="16.5" thickBot="1" x14ac:dyDescent="0.3">
      <c r="A85" s="141" t="s">
        <v>304</v>
      </c>
      <c r="B85" s="142">
        <f>B84*0.2</f>
        <v>341612.99931197421</v>
      </c>
      <c r="C85" s="23"/>
      <c r="D85" s="24"/>
    </row>
    <row r="86" spans="1:4" s="55" customFormat="1" ht="16.5" thickBot="1" x14ac:dyDescent="0.3">
      <c r="A86" s="38" t="s">
        <v>305</v>
      </c>
      <c r="B86" s="46">
        <f>B84+B85</f>
        <v>2049677.9958718452</v>
      </c>
      <c r="C86" s="40"/>
      <c r="D86" s="41"/>
    </row>
    <row r="87" spans="1:4" s="4" customFormat="1" ht="16.5" thickBot="1" x14ac:dyDescent="0.3">
      <c r="A87" s="42" t="s">
        <v>306</v>
      </c>
      <c r="B87" s="46">
        <f>B10+B24+B26+B28+B29-B86</f>
        <v>3201604.6896932167</v>
      </c>
      <c r="C87" s="43"/>
      <c r="D87" s="43"/>
    </row>
    <row r="88" spans="1:4" s="4" customFormat="1" ht="16.5" hidden="1" thickBot="1" x14ac:dyDescent="0.3">
      <c r="A88" s="44" t="s">
        <v>307</v>
      </c>
      <c r="B88" s="46"/>
      <c r="C88" s="43"/>
      <c r="D88" s="43"/>
    </row>
    <row r="89" spans="1:4" s="4" customFormat="1" ht="16.5" hidden="1" thickBot="1" x14ac:dyDescent="0.3">
      <c r="A89" s="143" t="s">
        <v>308</v>
      </c>
      <c r="B89" s="46"/>
      <c r="C89" s="43"/>
      <c r="D89" s="43"/>
    </row>
    <row r="90" spans="1:4" ht="15.75" hidden="1" x14ac:dyDescent="0.25">
      <c r="A90" s="54"/>
      <c r="B90" s="130"/>
      <c r="C90" s="54"/>
      <c r="D90" s="54"/>
    </row>
    <row r="91" spans="1:4" ht="15.75" x14ac:dyDescent="0.25">
      <c r="A91" s="49"/>
      <c r="B91" s="3"/>
      <c r="C91" s="54"/>
      <c r="D91" s="54"/>
    </row>
    <row r="92" spans="1:4" ht="15.75" x14ac:dyDescent="0.25">
      <c r="A92" s="286" t="s">
        <v>542</v>
      </c>
      <c r="B92" s="286"/>
      <c r="C92" s="54"/>
      <c r="D92" s="54"/>
    </row>
    <row r="93" spans="1:4" ht="15.75" x14ac:dyDescent="0.25">
      <c r="A93" s="49"/>
      <c r="B93" s="3"/>
      <c r="C93" s="54"/>
      <c r="D93" s="54"/>
    </row>
    <row r="94" spans="1:4" ht="15.75" hidden="1" x14ac:dyDescent="0.25">
      <c r="A94" s="287" t="s">
        <v>399</v>
      </c>
      <c r="B94" s="287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90" xr:uid="{00000000-0009-0000-0000-000009000000}">
    <filterColumn colId="1">
      <filters>
        <filter val="1 658 315,53"/>
        <filter val="1 708 065,00"/>
        <filter val="1 890,18"/>
        <filter val="120 925,90"/>
        <filter val="13 525,13"/>
        <filter val="131 915,11"/>
        <filter val="14 700,00"/>
        <filter val="15 049,53"/>
        <filter val="15 912,00"/>
        <filter val="152 924,81"/>
        <filter val="165 500,00"/>
        <filter val="179 924,94"/>
        <filter val="19 312,17"/>
        <filter val="2 049 678,00"/>
        <filter val="2 376,88"/>
        <filter val="2 904,24"/>
        <filter val="21 009,70"/>
        <filter val="217 210,53"/>
        <filter val="226 925,44"/>
        <filter val="256 277,34"/>
        <filter val="267 310,77"/>
        <filter val="284,98"/>
        <filter val="3 201 604,69"/>
        <filter val="3 526,62"/>
        <filter val="315 994,14"/>
        <filter val="34 608,88"/>
        <filter val="341 613,00"/>
        <filter val="38 739,01"/>
        <filter val="39 964,42"/>
        <filter val="4 200,00"/>
        <filter val="41 854,60"/>
        <filter val="49 749,47"/>
        <filter val="54 548,53"/>
        <filter val="713 022,58"/>
        <filter val="8 133,61"/>
        <filter val="9 233,6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>
    <pageSetUpPr fitToPage="1"/>
  </sheetPr>
  <dimension ref="A1:G94"/>
  <sheetViews>
    <sheetView view="pageBreakPreview" topLeftCell="A77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98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21</v>
      </c>
      <c r="B5" s="246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-826714.27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8">
        <v>1541.9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8">
        <v>0</v>
      </c>
      <c r="C14" s="60"/>
      <c r="D14" s="59"/>
    </row>
    <row r="15" spans="1:4" ht="15.75" hidden="1" x14ac:dyDescent="0.25">
      <c r="A15" s="58" t="s">
        <v>237</v>
      </c>
      <c r="B15" s="8">
        <f>B13+B14</f>
        <v>1541.9</v>
      </c>
      <c r="C15" s="61"/>
      <c r="D15" s="62"/>
    </row>
    <row r="16" spans="1:4" ht="16.5" hidden="1" thickBot="1" x14ac:dyDescent="0.3">
      <c r="A16" s="58" t="s">
        <v>238</v>
      </c>
      <c r="B16" s="8">
        <f>595.67+1929/3</f>
        <v>1238.67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8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8">
        <v>630.6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8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8">
        <v>819.8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8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8">
        <v>78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292743.58</v>
      </c>
      <c r="C24" s="59"/>
      <c r="D24" s="62"/>
      <c r="E24" s="194">
        <v>15.67</v>
      </c>
      <c r="F24" s="195">
        <v>16.829999999999998</v>
      </c>
      <c r="G24" s="54"/>
    </row>
    <row r="25" spans="1:7" ht="16.5" thickBot="1" x14ac:dyDescent="0.3">
      <c r="A25" s="64" t="s">
        <v>318</v>
      </c>
      <c r="B25" s="14">
        <f>VLOOKUP(A5,мкд!W:Y,3,FALSE)</f>
        <v>302523.02</v>
      </c>
      <c r="C25" s="63"/>
      <c r="D25" s="62"/>
      <c r="E25" s="54">
        <f>E24*E23*B15+F24*F23*B15</f>
        <v>293516.08400000003</v>
      </c>
      <c r="F25" s="54"/>
      <c r="G25" s="54"/>
    </row>
    <row r="26" spans="1:7" ht="15.75" hidden="1" x14ac:dyDescent="0.25">
      <c r="A26" s="64" t="s">
        <v>319</v>
      </c>
      <c r="B26" s="13">
        <v>0</v>
      </c>
      <c r="C26" s="57"/>
      <c r="D26" s="59"/>
      <c r="E26" s="54"/>
      <c r="F26" s="54"/>
      <c r="G26" s="54"/>
    </row>
    <row r="27" spans="1:7" ht="16.5" hidden="1" thickBot="1" x14ac:dyDescent="0.3">
      <c r="A27" s="64" t="s">
        <v>248</v>
      </c>
      <c r="B27" s="13">
        <v>0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1510.2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3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SUM(B33:B40)</f>
        <v>51065.060000000005</v>
      </c>
      <c r="C32" s="59"/>
      <c r="D32" s="62"/>
      <c r="E32" s="67">
        <f>(B85-B26-B24)/1.2/1.03</f>
        <v>126166.30242815556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172" t="s">
        <v>253</v>
      </c>
      <c r="B33" s="237">
        <v>26322.79</v>
      </c>
      <c r="C33" s="63"/>
      <c r="D33" s="62">
        <v>19978.75</v>
      </c>
      <c r="E33" s="54"/>
      <c r="F33" s="54"/>
      <c r="G33" s="54"/>
    </row>
    <row r="34" spans="1:7" ht="15.75" x14ac:dyDescent="0.25">
      <c r="A34" s="91" t="s">
        <v>536</v>
      </c>
      <c r="B34" s="92">
        <v>19825.47</v>
      </c>
      <c r="C34" s="57"/>
      <c r="D34" s="59">
        <v>0</v>
      </c>
      <c r="E34" s="54"/>
      <c r="F34" s="54"/>
      <c r="G34" s="54"/>
    </row>
    <row r="35" spans="1:7" ht="15.75" hidden="1" customHeight="1" x14ac:dyDescent="0.25">
      <c r="A35" s="71" t="s">
        <v>331</v>
      </c>
      <c r="B35" s="93"/>
      <c r="C35" s="62"/>
      <c r="D35" s="59">
        <v>0</v>
      </c>
      <c r="E35" s="54"/>
      <c r="F35" s="54"/>
      <c r="G35" s="54"/>
    </row>
    <row r="36" spans="1:7" ht="15.75" hidden="1" customHeight="1" x14ac:dyDescent="0.25">
      <c r="A36" s="71" t="s">
        <v>332</v>
      </c>
      <c r="B36" s="94"/>
      <c r="C36" s="62" t="s">
        <v>234</v>
      </c>
      <c r="D36" s="59">
        <v>0</v>
      </c>
      <c r="E36" s="54"/>
      <c r="F36" s="54"/>
      <c r="G36" s="54"/>
    </row>
    <row r="37" spans="1:7" ht="15.75" hidden="1" customHeight="1" x14ac:dyDescent="0.25">
      <c r="A37" s="91" t="s">
        <v>333</v>
      </c>
      <c r="B37" s="116"/>
      <c r="C37" s="62"/>
      <c r="D37" s="59">
        <v>0</v>
      </c>
      <c r="E37" s="54"/>
      <c r="F37" s="54"/>
      <c r="G37" s="54"/>
    </row>
    <row r="38" spans="1:7" ht="15.75" hidden="1" customHeight="1" x14ac:dyDescent="0.25">
      <c r="A38" s="248" t="s">
        <v>334</v>
      </c>
      <c r="B38" s="117"/>
      <c r="C38" s="62"/>
      <c r="D38" s="59"/>
      <c r="E38" s="54"/>
      <c r="F38" s="54"/>
      <c r="G38" s="54"/>
    </row>
    <row r="39" spans="1:7" ht="16.5" thickBot="1" x14ac:dyDescent="0.3">
      <c r="A39" s="69" t="s">
        <v>256</v>
      </c>
      <c r="B39" s="93">
        <v>4916.8</v>
      </c>
      <c r="C39" s="62"/>
      <c r="D39" s="59"/>
      <c r="E39" s="54"/>
      <c r="F39" s="54"/>
      <c r="G39" s="54"/>
    </row>
    <row r="40" spans="1:7" ht="16.5" hidden="1" customHeight="1" thickBot="1" x14ac:dyDescent="0.3">
      <c r="A40" s="69" t="s">
        <v>311</v>
      </c>
      <c r="B40" s="11">
        <v>0</v>
      </c>
      <c r="C40" s="60"/>
      <c r="D40" s="59"/>
      <c r="E40" s="54"/>
      <c r="F40" s="54"/>
      <c r="G40" s="54"/>
    </row>
    <row r="41" spans="1:7" s="68" customFormat="1" ht="48" thickBot="1" x14ac:dyDescent="0.3">
      <c r="A41" s="66" t="s">
        <v>323</v>
      </c>
      <c r="B41" s="16">
        <f>SUM(B42:B44)</f>
        <v>39704.431241521364</v>
      </c>
      <c r="C41" s="56"/>
      <c r="D41" s="62"/>
      <c r="E41" s="67"/>
      <c r="F41" s="67"/>
      <c r="G41" s="67"/>
    </row>
    <row r="42" spans="1:7" ht="15.75" x14ac:dyDescent="0.25">
      <c r="A42" s="69" t="s">
        <v>262</v>
      </c>
      <c r="B42" s="11">
        <v>13437.45</v>
      </c>
      <c r="C42" s="65"/>
      <c r="D42" s="73"/>
      <c r="E42" s="54"/>
      <c r="F42" s="54"/>
      <c r="G42" s="54"/>
    </row>
    <row r="43" spans="1:7" ht="15.75" x14ac:dyDescent="0.25">
      <c r="A43" s="69" t="s">
        <v>263</v>
      </c>
      <c r="B43" s="11">
        <v>17200.169999999998</v>
      </c>
      <c r="C43" s="60"/>
      <c r="D43" s="73"/>
      <c r="E43" s="54"/>
      <c r="F43" s="54"/>
      <c r="G43" s="54"/>
    </row>
    <row r="44" spans="1:7" ht="16.5" thickBot="1" x14ac:dyDescent="0.3">
      <c r="A44" s="74" t="s">
        <v>264</v>
      </c>
      <c r="B44" s="11">
        <f>[3]тарифы!D163*B15*1.0952+96.01*1.12</f>
        <v>9066.8112415213654</v>
      </c>
      <c r="C44" s="60"/>
      <c r="D44" s="73"/>
      <c r="E44" s="54"/>
      <c r="F44" s="54"/>
      <c r="G44" s="54"/>
    </row>
    <row r="45" spans="1:7" s="55" customFormat="1" ht="16.5" thickBot="1" x14ac:dyDescent="0.3">
      <c r="A45" s="66" t="s">
        <v>265</v>
      </c>
      <c r="B45" s="121">
        <f>SUM(B46:B64)</f>
        <v>37883.200000000004</v>
      </c>
      <c r="C45" s="56"/>
      <c r="D45" s="62"/>
    </row>
    <row r="46" spans="1:7" ht="15.75" x14ac:dyDescent="0.25">
      <c r="A46" s="69" t="s">
        <v>324</v>
      </c>
      <c r="B46" s="11">
        <v>2648.52</v>
      </c>
      <c r="C46" s="57"/>
      <c r="D46" s="59"/>
      <c r="E46" s="54" t="s">
        <v>267</v>
      </c>
      <c r="F46" s="54"/>
      <c r="G46" s="54"/>
    </row>
    <row r="47" spans="1:7" ht="15.75" x14ac:dyDescent="0.25">
      <c r="A47" s="69" t="s">
        <v>315</v>
      </c>
      <c r="B47" s="11">
        <v>3216.06</v>
      </c>
      <c r="C47" s="62"/>
      <c r="D47" s="59"/>
      <c r="E47" s="54" t="s">
        <v>269</v>
      </c>
      <c r="F47" s="54"/>
      <c r="G47" s="54"/>
    </row>
    <row r="48" spans="1:7" ht="15.75" hidden="1" customHeight="1" x14ac:dyDescent="0.25">
      <c r="A48" s="75" t="s">
        <v>270</v>
      </c>
      <c r="B48" s="11">
        <v>0</v>
      </c>
      <c r="C48" s="62"/>
      <c r="D48" s="59"/>
      <c r="E48" s="54"/>
      <c r="F48" s="54"/>
      <c r="G48" s="54"/>
    </row>
    <row r="49" spans="1:5" ht="15.75" x14ac:dyDescent="0.25">
      <c r="A49" s="69" t="s">
        <v>518</v>
      </c>
      <c r="B49" s="72">
        <v>6499.64</v>
      </c>
      <c r="C49" s="62"/>
      <c r="D49" s="59">
        <v>4190</v>
      </c>
      <c r="E49" s="54"/>
    </row>
    <row r="50" spans="1:5" ht="15.75" hidden="1" customHeight="1" x14ac:dyDescent="0.25">
      <c r="A50" s="75" t="s">
        <v>272</v>
      </c>
      <c r="B50" s="8">
        <v>0</v>
      </c>
      <c r="C50" s="62"/>
      <c r="D50" s="59"/>
      <c r="E50" s="54"/>
    </row>
    <row r="51" spans="1:5" ht="15.75" hidden="1" customHeight="1" x14ac:dyDescent="0.25">
      <c r="A51" s="75" t="s">
        <v>273</v>
      </c>
      <c r="B51" s="8">
        <f>B21*[3]тарифы!D177</f>
        <v>0</v>
      </c>
      <c r="C51" s="62"/>
      <c r="D51" s="59">
        <v>105.14</v>
      </c>
      <c r="E51" s="54"/>
    </row>
    <row r="52" spans="1:5" ht="15.75" hidden="1" customHeight="1" x14ac:dyDescent="0.25">
      <c r="A52" s="75" t="s">
        <v>274</v>
      </c>
      <c r="B52" s="8">
        <v>0</v>
      </c>
      <c r="C52" s="62">
        <v>0</v>
      </c>
      <c r="D52" s="59">
        <v>522.99</v>
      </c>
      <c r="E52" s="54"/>
    </row>
    <row r="53" spans="1:5" ht="15.75" hidden="1" customHeight="1" x14ac:dyDescent="0.25">
      <c r="A53" s="75" t="s">
        <v>275</v>
      </c>
      <c r="B53" s="8">
        <v>0</v>
      </c>
      <c r="C53" s="62">
        <v>0</v>
      </c>
      <c r="D53" s="76">
        <v>695.13</v>
      </c>
      <c r="E53" s="54"/>
    </row>
    <row r="54" spans="1:5" ht="15.75" hidden="1" customHeight="1" x14ac:dyDescent="0.25">
      <c r="A54" s="75" t="s">
        <v>276</v>
      </c>
      <c r="B54" s="8">
        <v>0</v>
      </c>
      <c r="C54" s="62"/>
      <c r="D54" s="76"/>
      <c r="E54" s="54"/>
    </row>
    <row r="55" spans="1:5" ht="15.75" hidden="1" customHeight="1" x14ac:dyDescent="0.25">
      <c r="A55" s="75" t="s">
        <v>277</v>
      </c>
      <c r="B55" s="8">
        <v>0</v>
      </c>
      <c r="C55" s="62">
        <v>0</v>
      </c>
      <c r="D55" s="59">
        <f>10695.76/1.18</f>
        <v>9064.203389830509</v>
      </c>
      <c r="E55" s="54"/>
    </row>
    <row r="56" spans="1:5" ht="15.75" hidden="1" customHeight="1" x14ac:dyDescent="0.25">
      <c r="A56" s="75" t="s">
        <v>312</v>
      </c>
      <c r="B56" s="8">
        <v>0</v>
      </c>
      <c r="C56" s="62">
        <v>0</v>
      </c>
      <c r="D56" s="59">
        <f>2300/1.18</f>
        <v>1949.1525423728815</v>
      </c>
      <c r="E56" s="54"/>
    </row>
    <row r="57" spans="1:5" ht="16.5" hidden="1" customHeight="1" x14ac:dyDescent="0.25">
      <c r="A57" s="75" t="s">
        <v>314</v>
      </c>
      <c r="B57" s="11"/>
      <c r="C57" s="60">
        <v>0</v>
      </c>
      <c r="D57" s="59">
        <v>0</v>
      </c>
      <c r="E57" s="54"/>
    </row>
    <row r="58" spans="1:5" ht="16.5" hidden="1" customHeight="1" thickBot="1" x14ac:dyDescent="0.3">
      <c r="A58" s="75" t="s">
        <v>278</v>
      </c>
      <c r="B58" s="8">
        <f>B13*[3]тарифы!D184</f>
        <v>0</v>
      </c>
      <c r="C58" s="56"/>
      <c r="D58" s="62"/>
      <c r="E58" s="54"/>
    </row>
    <row r="59" spans="1:5" ht="15.75" hidden="1" customHeight="1" x14ac:dyDescent="0.25">
      <c r="A59" s="69" t="s">
        <v>279</v>
      </c>
      <c r="B59" s="8">
        <v>0</v>
      </c>
      <c r="C59" s="57"/>
      <c r="D59" s="59"/>
      <c r="E59" s="54"/>
    </row>
    <row r="60" spans="1:5" ht="15.75" hidden="1" customHeight="1" x14ac:dyDescent="0.25">
      <c r="A60" s="69" t="s">
        <v>280</v>
      </c>
      <c r="B60" s="8">
        <v>0</v>
      </c>
      <c r="C60" s="62"/>
      <c r="D60" s="59">
        <v>0</v>
      </c>
      <c r="E60" s="54"/>
    </row>
    <row r="61" spans="1:5" ht="15.75" hidden="1" customHeight="1" x14ac:dyDescent="0.25">
      <c r="A61" s="69" t="s">
        <v>336</v>
      </c>
      <c r="B61" s="8">
        <v>0</v>
      </c>
      <c r="C61" s="62"/>
      <c r="D61" s="59">
        <v>0</v>
      </c>
      <c r="E61" s="54"/>
    </row>
    <row r="62" spans="1:5" ht="16.5" thickBot="1" x14ac:dyDescent="0.3">
      <c r="A62" s="69" t="s">
        <v>337</v>
      </c>
      <c r="B62" s="132">
        <v>13988.79</v>
      </c>
      <c r="C62" s="78">
        <v>1</v>
      </c>
      <c r="D62" s="59">
        <v>0</v>
      </c>
      <c r="E62" s="54"/>
    </row>
    <row r="63" spans="1:5" ht="16.5" thickBot="1" x14ac:dyDescent="0.3">
      <c r="A63" s="69" t="s">
        <v>283</v>
      </c>
      <c r="B63" s="132">
        <f>VLOOKUP(A5,'[2]МКД 33'!$AI:$FO,137,FALSE)</f>
        <v>11440.44</v>
      </c>
      <c r="C63" s="79">
        <v>36</v>
      </c>
      <c r="D63" s="62">
        <v>2</v>
      </c>
      <c r="E63" s="54">
        <v>1</v>
      </c>
    </row>
    <row r="64" spans="1:5" s="55" customFormat="1" ht="16.5" thickBot="1" x14ac:dyDescent="0.3">
      <c r="A64" s="69" t="s">
        <v>281</v>
      </c>
      <c r="B64" s="132">
        <v>89.75</v>
      </c>
      <c r="C64" s="80">
        <v>36</v>
      </c>
      <c r="D64" s="73">
        <f>650/1.18</f>
        <v>550.84745762711873</v>
      </c>
    </row>
    <row r="65" spans="1:4" s="55" customFormat="1" ht="16.5" thickBot="1" x14ac:dyDescent="0.3">
      <c r="A65" s="175" t="s">
        <v>285</v>
      </c>
      <c r="B65" s="121">
        <f>SUM(B66:B73)</f>
        <v>126541.55346272001</v>
      </c>
      <c r="C65" s="56"/>
      <c r="D65" s="60"/>
    </row>
    <row r="66" spans="1:4" ht="16.5" hidden="1" customHeight="1" thickBot="1" x14ac:dyDescent="0.3">
      <c r="A66" s="69" t="s">
        <v>286</v>
      </c>
      <c r="B66" s="11">
        <v>0</v>
      </c>
      <c r="C66" s="65"/>
      <c r="D66" s="73"/>
    </row>
    <row r="67" spans="1:4" ht="16.5" thickBot="1" x14ac:dyDescent="0.3">
      <c r="A67" s="69" t="s">
        <v>287</v>
      </c>
      <c r="B67" s="8">
        <f>44844*1.04*1.12*1.0952</f>
        <v>57206.995722240004</v>
      </c>
      <c r="C67" s="56">
        <f>B16</f>
        <v>1238.67</v>
      </c>
      <c r="D67" s="60"/>
    </row>
    <row r="68" spans="1:4" ht="15.75" hidden="1" customHeight="1" x14ac:dyDescent="0.25">
      <c r="A68" s="69" t="s">
        <v>288</v>
      </c>
      <c r="B68" s="11">
        <v>0</v>
      </c>
      <c r="C68" s="65"/>
      <c r="D68" s="73"/>
    </row>
    <row r="69" spans="1:4" ht="16.5" thickBot="1" x14ac:dyDescent="0.3">
      <c r="A69" s="74" t="s">
        <v>289</v>
      </c>
      <c r="B69" s="8">
        <f>1.35*B15</f>
        <v>2081.5650000000001</v>
      </c>
      <c r="C69" s="60"/>
      <c r="D69" s="73"/>
    </row>
    <row r="70" spans="1:4" ht="15.75" x14ac:dyDescent="0.25">
      <c r="A70" s="74" t="s">
        <v>290</v>
      </c>
      <c r="B70" s="11">
        <f>5.06*B15</f>
        <v>7802.0140000000001</v>
      </c>
      <c r="C70" s="81"/>
      <c r="D70" s="60"/>
    </row>
    <row r="71" spans="1:4" ht="15.75" x14ac:dyDescent="0.25">
      <c r="A71" s="74" t="s">
        <v>291</v>
      </c>
      <c r="B71" s="11">
        <f>17.68*B15</f>
        <v>27260.792000000001</v>
      </c>
      <c r="C71" s="73"/>
      <c r="D71" s="60"/>
    </row>
    <row r="72" spans="1:4" ht="15.75" x14ac:dyDescent="0.25">
      <c r="A72" s="25" t="s">
        <v>292</v>
      </c>
      <c r="B72" s="11">
        <f>3110.68*1.0952</f>
        <v>3406.8167359999998</v>
      </c>
      <c r="C72" s="73"/>
      <c r="D72" s="60"/>
    </row>
    <row r="73" spans="1:4" ht="15.75" x14ac:dyDescent="0.25">
      <c r="A73" s="74" t="s">
        <v>293</v>
      </c>
      <c r="B73" s="11">
        <f>22563*1.04*1.12*1.0952</f>
        <v>28783.370004480003</v>
      </c>
      <c r="C73" s="73"/>
      <c r="D73" s="60"/>
    </row>
    <row r="74" spans="1:4" ht="47.25" x14ac:dyDescent="0.25">
      <c r="A74" s="213" t="s">
        <v>326</v>
      </c>
      <c r="B74" s="121">
        <f>SUM(B75:B75)</f>
        <v>57470.052982793233</v>
      </c>
      <c r="C74" s="73"/>
      <c r="D74" s="60"/>
    </row>
    <row r="75" spans="1:4" ht="15.75" x14ac:dyDescent="0.25">
      <c r="A75" s="74" t="s">
        <v>295</v>
      </c>
      <c r="B75" s="11">
        <f>[3]ОЭР!D24*1.12*1.0952</f>
        <v>57470.052982793233</v>
      </c>
      <c r="C75" s="73"/>
      <c r="D75" s="60"/>
    </row>
    <row r="76" spans="1:4" s="55" customFormat="1" ht="15.75" x14ac:dyDescent="0.25">
      <c r="A76" s="175" t="s">
        <v>296</v>
      </c>
      <c r="B76" s="121">
        <f>SUM(B77:B80)</f>
        <v>50349.56137542511</v>
      </c>
      <c r="C76" s="73"/>
      <c r="D76" s="60"/>
    </row>
    <row r="77" spans="1:4" ht="32.25" thickBot="1" x14ac:dyDescent="0.3">
      <c r="A77" s="82" t="s">
        <v>327</v>
      </c>
      <c r="B77" s="11">
        <f>[3]тарифы!D170*B15*1.12*1.0952</f>
        <v>40754.67683094283</v>
      </c>
      <c r="C77" s="63"/>
      <c r="D77" s="60"/>
    </row>
    <row r="78" spans="1:4" ht="16.5" hidden="1" customHeight="1" thickBot="1" x14ac:dyDescent="0.3">
      <c r="A78" s="35" t="s">
        <v>298</v>
      </c>
      <c r="B78" s="11">
        <f>(B26/1.2)*30%</f>
        <v>0</v>
      </c>
      <c r="C78" s="65"/>
      <c r="D78" s="73"/>
    </row>
    <row r="79" spans="1:4" ht="15.75" x14ac:dyDescent="0.25">
      <c r="A79" s="83" t="s">
        <v>328</v>
      </c>
      <c r="B79" s="8">
        <f>3196.75+3008.73</f>
        <v>6205.48</v>
      </c>
      <c r="C79" s="81"/>
      <c r="D79" s="60"/>
    </row>
    <row r="80" spans="1:4" ht="15.75" x14ac:dyDescent="0.25">
      <c r="A80" s="83" t="s">
        <v>329</v>
      </c>
      <c r="B80" s="11">
        <f>[3]тарифы!D173*B13*1.12*1</f>
        <v>3389.4045444822877</v>
      </c>
      <c r="C80" s="73"/>
      <c r="D80" s="60"/>
    </row>
    <row r="81" spans="1:4" ht="15.75" x14ac:dyDescent="0.25">
      <c r="A81" s="214" t="s">
        <v>301</v>
      </c>
      <c r="B81" s="14">
        <f>B32+B41+B45+B65+B74+B76</f>
        <v>363013.85906245979</v>
      </c>
      <c r="C81" s="73"/>
      <c r="D81" s="60"/>
    </row>
    <row r="82" spans="1:4" ht="15.75" x14ac:dyDescent="0.25">
      <c r="A82" s="215" t="s">
        <v>302</v>
      </c>
      <c r="B82" s="11">
        <f>B81*0.03</f>
        <v>10890.415771873793</v>
      </c>
      <c r="C82" s="73"/>
      <c r="D82" s="60"/>
    </row>
    <row r="83" spans="1:4" s="68" customFormat="1" ht="15.75" x14ac:dyDescent="0.25">
      <c r="A83" s="216" t="s">
        <v>303</v>
      </c>
      <c r="B83" s="121">
        <f>B81+B82</f>
        <v>373904.27483433357</v>
      </c>
      <c r="C83" s="73"/>
      <c r="D83" s="60"/>
    </row>
    <row r="84" spans="1:4" ht="16.5" thickBot="1" x14ac:dyDescent="0.3">
      <c r="A84" s="217" t="s">
        <v>304</v>
      </c>
      <c r="B84" s="142">
        <f>B83*0.2</f>
        <v>74780.854966866711</v>
      </c>
      <c r="C84" s="73"/>
      <c r="D84" s="60"/>
    </row>
    <row r="85" spans="1:4" s="55" customFormat="1" ht="16.5" thickBot="1" x14ac:dyDescent="0.3">
      <c r="A85" s="218" t="s">
        <v>305</v>
      </c>
      <c r="B85" s="46">
        <f>B83+B84</f>
        <v>448685.1298012003</v>
      </c>
      <c r="C85" s="56"/>
      <c r="D85" s="84"/>
    </row>
    <row r="86" spans="1:4" s="55" customFormat="1" ht="16.5" thickBot="1" x14ac:dyDescent="0.3">
      <c r="A86" s="219" t="s">
        <v>306</v>
      </c>
      <c r="B86" s="46">
        <f>B10+B24+B26+B28+B29-B85</f>
        <v>-981145.61980120023</v>
      </c>
      <c r="C86" s="85"/>
      <c r="D86" s="86"/>
    </row>
    <row r="87" spans="1:4" s="55" customFormat="1" ht="16.5" hidden="1" customHeight="1" thickBot="1" x14ac:dyDescent="0.3">
      <c r="A87" s="87" t="s">
        <v>307</v>
      </c>
      <c r="B87" s="46"/>
      <c r="C87" s="88"/>
      <c r="D87" s="86"/>
    </row>
    <row r="88" spans="1:4" s="55" customFormat="1" ht="16.5" hidden="1" customHeight="1" thickBot="1" x14ac:dyDescent="0.3">
      <c r="A88" s="89" t="s">
        <v>308</v>
      </c>
      <c r="B88" s="46"/>
      <c r="C88" s="86"/>
      <c r="D88" s="86"/>
    </row>
    <row r="89" spans="1:4" s="55" customFormat="1" ht="15.75" hidden="1" x14ac:dyDescent="0.25">
      <c r="A89" s="90"/>
      <c r="B89" s="48"/>
      <c r="C89" s="86"/>
      <c r="D89" s="86"/>
    </row>
    <row r="90" spans="1:4" ht="15.75" x14ac:dyDescent="0.25">
      <c r="A90" s="220"/>
      <c r="B90" s="3"/>
      <c r="C90" s="54"/>
      <c r="D90" s="54"/>
    </row>
    <row r="91" spans="1:4" ht="15.75" x14ac:dyDescent="0.25">
      <c r="A91" s="278" t="s">
        <v>541</v>
      </c>
      <c r="B91" s="278"/>
      <c r="C91" s="54"/>
      <c r="D91" s="54"/>
    </row>
    <row r="92" spans="1:4" ht="15.75" x14ac:dyDescent="0.25">
      <c r="A92" s="220"/>
      <c r="B92" s="3"/>
      <c r="C92" s="54"/>
      <c r="D92" s="54"/>
    </row>
    <row r="93" spans="1:4" ht="15.75" hidden="1" x14ac:dyDescent="0.25">
      <c r="A93" s="279" t="s">
        <v>330</v>
      </c>
      <c r="B93" s="279"/>
      <c r="C93" s="221"/>
      <c r="D93" s="54"/>
    </row>
    <row r="94" spans="1:4" ht="15.75" x14ac:dyDescent="0.25">
      <c r="A94" s="54"/>
      <c r="B94" s="3"/>
      <c r="C94" s="54"/>
      <c r="D94" s="54"/>
    </row>
  </sheetData>
  <autoFilter ref="A31:G88" xr:uid="{00000000-0009-0000-0000-00000A000000}">
    <filterColumn colId="1">
      <filters>
        <filter val="10 890,42"/>
        <filter val="11 440,44"/>
        <filter val="126 541,55"/>
        <filter val="13 437,45"/>
        <filter val="13 988,79"/>
        <filter val="17 200,17"/>
        <filter val="19 825,47"/>
        <filter val="2 081,57"/>
        <filter val="2 648,52"/>
        <filter val="26 322,79"/>
        <filter val="27 260,79"/>
        <filter val="28 783,37"/>
        <filter val="3 216,06"/>
        <filter val="3 389,40"/>
        <filter val="3 406,82"/>
        <filter val="363 013,86"/>
        <filter val="37 883,20"/>
        <filter val="373 904,27"/>
        <filter val="39 704,43"/>
        <filter val="4 916,80"/>
        <filter val="40 754,68"/>
        <filter val="448 685,13"/>
        <filter val="50 349,56"/>
        <filter val="51 065,06"/>
        <filter val="57 207,00"/>
        <filter val="57 470,05"/>
        <filter val="6 205,48"/>
        <filter val="6 499,64"/>
        <filter val="7 802,01"/>
        <filter val="74 780,85"/>
        <filter val="89,75"/>
        <filter val="9 066,81"/>
        <filter val="-981 145,62"/>
      </filters>
    </filterColumn>
  </autoFilter>
  <mergeCells count="9">
    <mergeCell ref="D8:D9"/>
    <mergeCell ref="A91:B91"/>
    <mergeCell ref="A93:B93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>
    <pageSetUpPr fitToPage="1"/>
  </sheetPr>
  <dimension ref="A1:G96"/>
  <sheetViews>
    <sheetView view="pageBreakPreview" topLeftCell="A63" zoomScale="85" zoomScaleNormal="100" zoomScaleSheetLayoutView="85" workbookViewId="0">
      <selection activeCell="A24" sqref="A24:B24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269" t="s">
        <v>224</v>
      </c>
      <c r="B1" s="269"/>
    </row>
    <row r="2" spans="1:4" ht="16.5" x14ac:dyDescent="0.25">
      <c r="A2" s="270" t="s">
        <v>225</v>
      </c>
      <c r="B2" s="270"/>
    </row>
    <row r="3" spans="1:4" ht="16.5" x14ac:dyDescent="0.25">
      <c r="A3" s="270" t="s">
        <v>226</v>
      </c>
      <c r="B3" s="270"/>
    </row>
    <row r="4" spans="1:4" x14ac:dyDescent="0.25">
      <c r="A4" s="184" t="s">
        <v>494</v>
      </c>
      <c r="B4" s="184"/>
    </row>
    <row r="5" spans="1:4" s="54" customFormat="1" x14ac:dyDescent="0.25">
      <c r="A5" s="184" t="s">
        <v>23</v>
      </c>
      <c r="B5" s="184"/>
    </row>
    <row r="6" spans="1:4" ht="5.25" customHeight="1" x14ac:dyDescent="0.25">
      <c r="A6" s="184"/>
      <c r="B6" s="4"/>
      <c r="C6" s="4"/>
    </row>
    <row r="7" spans="1:4" ht="16.5" thickBot="1" x14ac:dyDescent="0.3">
      <c r="A7" s="186"/>
      <c r="B7" s="4"/>
      <c r="C7" s="4"/>
    </row>
    <row r="8" spans="1:4" ht="15.75" customHeight="1" x14ac:dyDescent="0.25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6.5" thickBot="1" x14ac:dyDescent="0.3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-1090188.01</v>
      </c>
      <c r="C10" s="226"/>
      <c r="D10" s="226"/>
    </row>
    <row r="11" spans="1:4" s="227" customFormat="1" ht="16.5" hidden="1" thickBot="1" x14ac:dyDescent="0.3">
      <c r="A11" s="228" t="s">
        <v>232</v>
      </c>
      <c r="B11" s="229"/>
      <c r="C11" s="230"/>
      <c r="D11" s="230"/>
    </row>
    <row r="12" spans="1:4" x14ac:dyDescent="0.25">
      <c r="A12" s="231" t="s">
        <v>233</v>
      </c>
      <c r="B12" s="210"/>
      <c r="C12" s="5" t="s">
        <v>234</v>
      </c>
      <c r="D12" s="6" t="s">
        <v>234</v>
      </c>
    </row>
    <row r="13" spans="1:4" hidden="1" x14ac:dyDescent="0.25">
      <c r="A13" s="7" t="s">
        <v>235</v>
      </c>
      <c r="B13" s="8">
        <v>2602.1</v>
      </c>
      <c r="C13" s="9" t="s">
        <v>234</v>
      </c>
      <c r="D13" s="10" t="s">
        <v>234</v>
      </c>
    </row>
    <row r="14" spans="1:4" hidden="1" x14ac:dyDescent="0.25">
      <c r="A14" s="7" t="s">
        <v>236</v>
      </c>
      <c r="B14" s="11">
        <v>0</v>
      </c>
      <c r="C14" s="9"/>
      <c r="D14" s="10"/>
    </row>
    <row r="15" spans="1:4" hidden="1" x14ac:dyDescent="0.25">
      <c r="A15" s="123" t="s">
        <v>237</v>
      </c>
      <c r="B15" s="11">
        <f>B13+B14</f>
        <v>2602.1</v>
      </c>
      <c r="C15" s="9"/>
      <c r="D15" s="10"/>
    </row>
    <row r="16" spans="1:4" hidden="1" x14ac:dyDescent="0.25">
      <c r="A16" s="123" t="s">
        <v>238</v>
      </c>
      <c r="B16" s="11">
        <f>1133+2683.6/3</f>
        <v>2027.5333333333333</v>
      </c>
      <c r="C16" s="9" t="s">
        <v>234</v>
      </c>
      <c r="D16" s="10" t="s">
        <v>234</v>
      </c>
    </row>
    <row r="17" spans="1:7" hidden="1" x14ac:dyDescent="0.25">
      <c r="A17" s="7" t="s">
        <v>239</v>
      </c>
      <c r="B17" s="11">
        <v>0</v>
      </c>
      <c r="C17" s="9" t="s">
        <v>234</v>
      </c>
      <c r="D17" s="10" t="s">
        <v>234</v>
      </c>
    </row>
    <row r="18" spans="1:7" hidden="1" x14ac:dyDescent="0.25">
      <c r="A18" s="7" t="s">
        <v>240</v>
      </c>
      <c r="B18" s="8">
        <v>676</v>
      </c>
      <c r="C18" s="9" t="s">
        <v>234</v>
      </c>
      <c r="D18" s="10" t="s">
        <v>234</v>
      </c>
    </row>
    <row r="19" spans="1:7" hidden="1" x14ac:dyDescent="0.25">
      <c r="A19" s="7" t="s">
        <v>241</v>
      </c>
      <c r="B19" s="11">
        <v>0</v>
      </c>
      <c r="C19" s="9" t="s">
        <v>234</v>
      </c>
      <c r="D19" s="10" t="s">
        <v>234</v>
      </c>
    </row>
    <row r="20" spans="1:7" hidden="1" x14ac:dyDescent="0.25">
      <c r="A20" s="7" t="s">
        <v>242</v>
      </c>
      <c r="B20" s="8">
        <v>743</v>
      </c>
      <c r="C20" s="9"/>
      <c r="D20" s="10"/>
    </row>
    <row r="21" spans="1:7" hidden="1" x14ac:dyDescent="0.25">
      <c r="A21" s="7" t="s">
        <v>243</v>
      </c>
      <c r="B21" s="11">
        <v>0</v>
      </c>
      <c r="C21" s="9" t="s">
        <v>234</v>
      </c>
      <c r="D21" s="10" t="s">
        <v>234</v>
      </c>
    </row>
    <row r="22" spans="1:7" hidden="1" x14ac:dyDescent="0.25">
      <c r="A22" s="7" t="s">
        <v>244</v>
      </c>
      <c r="B22" s="8">
        <v>155</v>
      </c>
      <c r="C22" s="9"/>
      <c r="D22" s="10"/>
    </row>
    <row r="23" spans="1:7" x14ac:dyDescent="0.25">
      <c r="A23" s="123"/>
      <c r="B23" s="11"/>
      <c r="C23" s="9"/>
      <c r="D23" s="10"/>
    </row>
    <row r="24" spans="1:7" x14ac:dyDescent="0.25">
      <c r="A24" s="259" t="s">
        <v>317</v>
      </c>
      <c r="B24" s="255">
        <f>VLOOKUP(A5,мкд!W:X,2,FALSE)</f>
        <v>446208.48</v>
      </c>
      <c r="C24" s="9"/>
      <c r="D24" s="10"/>
      <c r="E24" s="194">
        <v>14.29</v>
      </c>
    </row>
    <row r="25" spans="1:7" x14ac:dyDescent="0.25">
      <c r="A25" s="124" t="s">
        <v>318</v>
      </c>
      <c r="B25" s="14">
        <f>VLOOKUP(A5,мкд!W:Y,3,FALSE)</f>
        <v>459383.01</v>
      </c>
      <c r="C25" s="9"/>
      <c r="D25" s="10"/>
    </row>
    <row r="26" spans="1:7" hidden="1" x14ac:dyDescent="0.25">
      <c r="A26" s="124" t="s">
        <v>319</v>
      </c>
      <c r="B26" s="14"/>
      <c r="C26" s="9"/>
      <c r="D26" s="10"/>
    </row>
    <row r="27" spans="1:7" hidden="1" x14ac:dyDescent="0.25">
      <c r="A27" s="124" t="s">
        <v>248</v>
      </c>
      <c r="B27" s="14">
        <f>B26</f>
        <v>0</v>
      </c>
      <c r="C27" s="9"/>
      <c r="D27" s="10"/>
    </row>
    <row r="28" spans="1:7" x14ac:dyDescent="0.25">
      <c r="A28" s="124" t="s">
        <v>391</v>
      </c>
      <c r="B28" s="14">
        <v>7154.31</v>
      </c>
      <c r="C28" s="9"/>
      <c r="D28" s="10"/>
    </row>
    <row r="29" spans="1:7" hidden="1" x14ac:dyDescent="0.25">
      <c r="A29" s="124" t="s">
        <v>250</v>
      </c>
      <c r="B29" s="11"/>
      <c r="C29" s="9"/>
      <c r="D29" s="10"/>
    </row>
    <row r="30" spans="1:7" x14ac:dyDescent="0.25">
      <c r="A30" s="125"/>
      <c r="B30" s="11"/>
      <c r="C30" s="9"/>
      <c r="D30" s="10"/>
    </row>
    <row r="31" spans="1:7" x14ac:dyDescent="0.25">
      <c r="A31" s="232" t="s">
        <v>251</v>
      </c>
      <c r="B31" s="11"/>
      <c r="C31" s="9"/>
      <c r="D31" s="10"/>
    </row>
    <row r="32" spans="1:7" s="18" customFormat="1" ht="31.5" x14ac:dyDescent="0.25">
      <c r="A32" s="126" t="s">
        <v>252</v>
      </c>
      <c r="B32" s="121">
        <f>SUM(B33:B36)</f>
        <v>115660.91</v>
      </c>
      <c r="C32" s="9"/>
      <c r="D32" s="10"/>
      <c r="E32" s="17">
        <f>(B81-B24-B26)/1.2/1.03</f>
        <v>304542.39602649049</v>
      </c>
      <c r="F32" s="17" t="e">
        <f>(#REF!-#REF!-#REF!)/1.2/1.03</f>
        <v>#REF!</v>
      </c>
      <c r="G32" s="17" t="e">
        <f>(#REF!-#REF!-#REF!)/1.2/1.03</f>
        <v>#REF!</v>
      </c>
    </row>
    <row r="33" spans="1:7" x14ac:dyDescent="0.25">
      <c r="A33" s="127" t="s">
        <v>253</v>
      </c>
      <c r="B33" s="11">
        <v>83933.670000000013</v>
      </c>
      <c r="C33" s="9"/>
      <c r="D33" s="10">
        <v>20085.96</v>
      </c>
    </row>
    <row r="34" spans="1:7" x14ac:dyDescent="0.25">
      <c r="A34" s="127" t="s">
        <v>256</v>
      </c>
      <c r="B34" s="11">
        <v>12068.67</v>
      </c>
      <c r="C34" s="9"/>
      <c r="D34" s="10"/>
    </row>
    <row r="35" spans="1:7" x14ac:dyDescent="0.25">
      <c r="A35" s="127" t="s">
        <v>255</v>
      </c>
      <c r="B35" s="11">
        <v>19658.57</v>
      </c>
      <c r="C35" s="9"/>
      <c r="D35" s="10"/>
    </row>
    <row r="36" spans="1:7" ht="16.5" hidden="1" x14ac:dyDescent="0.25">
      <c r="A36" s="146" t="s">
        <v>338</v>
      </c>
      <c r="B36" s="11"/>
      <c r="C36" s="9"/>
      <c r="D36" s="10">
        <v>0</v>
      </c>
    </row>
    <row r="37" spans="1:7" s="18" customFormat="1" ht="47.25" x14ac:dyDescent="0.25">
      <c r="A37" s="126" t="s">
        <v>393</v>
      </c>
      <c r="B37" s="121">
        <f>SUM(B38:B40)</f>
        <v>52469.345277440007</v>
      </c>
      <c r="C37" s="9"/>
      <c r="D37" s="10"/>
      <c r="E37" s="17"/>
      <c r="F37" s="17"/>
      <c r="G37" s="17"/>
    </row>
    <row r="38" spans="1:7" hidden="1" x14ac:dyDescent="0.25">
      <c r="A38" s="127" t="s">
        <v>262</v>
      </c>
      <c r="B38" s="11"/>
      <c r="C38" s="23"/>
      <c r="D38" s="24"/>
    </row>
    <row r="39" spans="1:7" x14ac:dyDescent="0.25">
      <c r="A39" s="128" t="s">
        <v>263</v>
      </c>
      <c r="B39" s="8">
        <v>31147.48</v>
      </c>
      <c r="C39" s="23"/>
      <c r="D39" s="24"/>
    </row>
    <row r="40" spans="1:7" x14ac:dyDescent="0.25">
      <c r="A40" s="129" t="s">
        <v>264</v>
      </c>
      <c r="B40" s="11">
        <f>16714*1.04*1.12*1.0952</f>
        <v>21321.865277440003</v>
      </c>
      <c r="C40" s="23"/>
      <c r="D40" s="24"/>
    </row>
    <row r="41" spans="1:7" s="4" customFormat="1" x14ac:dyDescent="0.25">
      <c r="A41" s="109" t="s">
        <v>265</v>
      </c>
      <c r="B41" s="16">
        <f>SUM(B42:B60)</f>
        <v>100110.54999999999</v>
      </c>
      <c r="C41" s="9"/>
      <c r="D41" s="10"/>
    </row>
    <row r="42" spans="1:7" x14ac:dyDescent="0.25">
      <c r="A42" s="19" t="s">
        <v>324</v>
      </c>
      <c r="B42" s="11">
        <v>2839.2</v>
      </c>
      <c r="C42" s="9"/>
      <c r="D42" s="10"/>
      <c r="E42" s="3" t="s">
        <v>267</v>
      </c>
    </row>
    <row r="43" spans="1:7" x14ac:dyDescent="0.25">
      <c r="A43" s="19" t="s">
        <v>315</v>
      </c>
      <c r="B43" s="11">
        <v>3447.6</v>
      </c>
      <c r="C43" s="9"/>
      <c r="D43" s="10"/>
      <c r="E43" s="3" t="s">
        <v>269</v>
      </c>
    </row>
    <row r="44" spans="1:7" hidden="1" x14ac:dyDescent="0.25">
      <c r="A44" s="26" t="s">
        <v>270</v>
      </c>
      <c r="B44" s="11">
        <v>0</v>
      </c>
      <c r="C44" s="9"/>
      <c r="D44" s="10"/>
    </row>
    <row r="45" spans="1:7" hidden="1" x14ac:dyDescent="0.25">
      <c r="A45" s="95" t="s">
        <v>271</v>
      </c>
      <c r="B45" s="11">
        <v>0</v>
      </c>
      <c r="C45" s="9"/>
      <c r="D45" s="10"/>
    </row>
    <row r="46" spans="1:7" hidden="1" x14ac:dyDescent="0.25">
      <c r="A46" s="95" t="s">
        <v>272</v>
      </c>
      <c r="B46" s="11">
        <v>0</v>
      </c>
      <c r="C46" s="9"/>
      <c r="D46" s="10"/>
    </row>
    <row r="47" spans="1:7" hidden="1" x14ac:dyDescent="0.25">
      <c r="A47" s="26" t="s">
        <v>273</v>
      </c>
      <c r="B47" s="11">
        <f>B21*'[4]32тарифы'!D177</f>
        <v>0</v>
      </c>
      <c r="C47" s="9"/>
      <c r="D47" s="10">
        <v>105.14</v>
      </c>
    </row>
    <row r="48" spans="1:7" x14ac:dyDescent="0.25">
      <c r="A48" s="26" t="s">
        <v>274</v>
      </c>
      <c r="B48" s="11">
        <v>24000</v>
      </c>
      <c r="C48" s="9">
        <v>1</v>
      </c>
      <c r="D48" s="10">
        <v>522.99</v>
      </c>
    </row>
    <row r="49" spans="1:5" x14ac:dyDescent="0.25">
      <c r="A49" s="26" t="s">
        <v>275</v>
      </c>
      <c r="B49" s="11">
        <v>8133.61</v>
      </c>
      <c r="C49" s="9">
        <v>1</v>
      </c>
      <c r="D49" s="28">
        <v>657.53</v>
      </c>
    </row>
    <row r="50" spans="1:5" x14ac:dyDescent="0.25">
      <c r="A50" s="26" t="s">
        <v>281</v>
      </c>
      <c r="B50" s="11">
        <v>64.67</v>
      </c>
      <c r="C50" s="9"/>
      <c r="D50" s="28"/>
    </row>
    <row r="51" spans="1:5" hidden="1" x14ac:dyDescent="0.25">
      <c r="A51" s="95" t="s">
        <v>427</v>
      </c>
      <c r="B51" s="11"/>
      <c r="C51" s="9">
        <v>0</v>
      </c>
      <c r="D51" s="10">
        <f>10695.76/1.18</f>
        <v>9064.203389830509</v>
      </c>
    </row>
    <row r="52" spans="1:5" hidden="1" x14ac:dyDescent="0.25">
      <c r="A52" s="95" t="s">
        <v>395</v>
      </c>
      <c r="B52" s="8"/>
      <c r="C52" s="9">
        <v>0</v>
      </c>
      <c r="D52" s="10">
        <f>2300/1.18</f>
        <v>1949.1525423728815</v>
      </c>
    </row>
    <row r="53" spans="1:5" hidden="1" x14ac:dyDescent="0.25">
      <c r="A53" s="95" t="s">
        <v>344</v>
      </c>
      <c r="B53" s="11"/>
      <c r="C53" s="9">
        <v>0</v>
      </c>
      <c r="D53" s="10">
        <v>0</v>
      </c>
    </row>
    <row r="54" spans="1:5" hidden="1" x14ac:dyDescent="0.25">
      <c r="A54" s="95" t="s">
        <v>278</v>
      </c>
      <c r="B54" s="11">
        <f>B13*'[4]32тарифы'!D184</f>
        <v>0</v>
      </c>
      <c r="C54" s="9"/>
      <c r="D54" s="10"/>
    </row>
    <row r="55" spans="1:5" hidden="1" x14ac:dyDescent="0.25">
      <c r="A55" s="19" t="s">
        <v>279</v>
      </c>
      <c r="B55" s="70">
        <v>0</v>
      </c>
      <c r="C55" s="9"/>
      <c r="D55" s="10"/>
    </row>
    <row r="56" spans="1:5" ht="15" customHeight="1" x14ac:dyDescent="0.25">
      <c r="A56" s="127" t="s">
        <v>520</v>
      </c>
      <c r="B56" s="11">
        <v>4200</v>
      </c>
      <c r="C56" s="9"/>
      <c r="D56" s="10">
        <v>0</v>
      </c>
    </row>
    <row r="57" spans="1:5" ht="15.75" customHeight="1" x14ac:dyDescent="0.25">
      <c r="A57" s="19" t="s">
        <v>518</v>
      </c>
      <c r="B57" s="11">
        <v>17586.64</v>
      </c>
      <c r="C57" s="9"/>
      <c r="D57" s="10">
        <v>0</v>
      </c>
    </row>
    <row r="58" spans="1:5" x14ac:dyDescent="0.25">
      <c r="A58" s="19" t="s">
        <v>325</v>
      </c>
      <c r="B58" s="132">
        <v>20771.43</v>
      </c>
      <c r="C58" s="30">
        <v>1</v>
      </c>
      <c r="D58" s="10">
        <v>0</v>
      </c>
    </row>
    <row r="59" spans="1:5" x14ac:dyDescent="0.25">
      <c r="A59" s="19" t="s">
        <v>283</v>
      </c>
      <c r="B59" s="132">
        <f>VLOOKUP(A5,'[2]МКД 33'!$AI:$FO,137,FALSE)</f>
        <v>19067.400000000001</v>
      </c>
      <c r="C59" s="30">
        <v>60</v>
      </c>
      <c r="D59" s="10">
        <v>2</v>
      </c>
      <c r="E59" s="3">
        <v>1</v>
      </c>
    </row>
    <row r="60" spans="1:5" hidden="1" x14ac:dyDescent="0.25">
      <c r="A60" s="19" t="s">
        <v>284</v>
      </c>
      <c r="B60" s="132">
        <v>0</v>
      </c>
      <c r="C60" s="32"/>
      <c r="D60" s="24">
        <v>0</v>
      </c>
    </row>
    <row r="61" spans="1:5" s="4" customFormat="1" x14ac:dyDescent="0.25">
      <c r="A61" s="112" t="s">
        <v>285</v>
      </c>
      <c r="B61" s="16">
        <f>SUM(B62:B69)</f>
        <v>208227.52707853261</v>
      </c>
      <c r="C61" s="23"/>
      <c r="D61" s="24"/>
    </row>
    <row r="62" spans="1:5" hidden="1" x14ac:dyDescent="0.25">
      <c r="A62" s="19" t="s">
        <v>286</v>
      </c>
      <c r="B62" s="11">
        <v>0</v>
      </c>
      <c r="C62" s="23"/>
      <c r="D62" s="24"/>
    </row>
    <row r="63" spans="1:5" x14ac:dyDescent="0.25">
      <c r="A63" s="19" t="s">
        <v>287</v>
      </c>
      <c r="B63" s="11">
        <f>103504*1.04*1.12*1.01</f>
        <v>121767.07379200001</v>
      </c>
      <c r="C63" s="23">
        <f>B63/B16</f>
        <v>60.056755561108744</v>
      </c>
      <c r="D63" s="24"/>
    </row>
    <row r="64" spans="1:5" hidden="1" x14ac:dyDescent="0.25">
      <c r="A64" s="127" t="s">
        <v>288</v>
      </c>
      <c r="B64" s="11">
        <v>0</v>
      </c>
      <c r="C64" s="23"/>
      <c r="D64" s="24"/>
    </row>
    <row r="65" spans="1:6" x14ac:dyDescent="0.25">
      <c r="A65" s="129" t="s">
        <v>289</v>
      </c>
      <c r="B65" s="11">
        <f>1.35*B15</f>
        <v>3512.835</v>
      </c>
      <c r="C65" s="23"/>
      <c r="D65" s="24"/>
    </row>
    <row r="66" spans="1:6" x14ac:dyDescent="0.25">
      <c r="A66" s="25" t="s">
        <v>290</v>
      </c>
      <c r="B66" s="11">
        <f>5.06*B15</f>
        <v>13166.625999999998</v>
      </c>
      <c r="C66" s="23"/>
      <c r="D66" s="24"/>
    </row>
    <row r="67" spans="1:6" x14ac:dyDescent="0.25">
      <c r="A67" s="103" t="s">
        <v>291</v>
      </c>
      <c r="B67" s="8">
        <f>17.68*B15</f>
        <v>46005.127999999997</v>
      </c>
      <c r="C67" s="23"/>
      <c r="D67" s="24"/>
    </row>
    <row r="68" spans="1:6" x14ac:dyDescent="0.25">
      <c r="A68" s="129" t="s">
        <v>292</v>
      </c>
      <c r="B68" s="11">
        <f>4510*1.04*1.12*1.0952</f>
        <v>5753.3572096000016</v>
      </c>
      <c r="C68" s="23"/>
      <c r="D68" s="24"/>
      <c r="F68" s="130">
        <f>B75+B41+665.89</f>
        <v>116688.88999999998</v>
      </c>
    </row>
    <row r="69" spans="1:6" x14ac:dyDescent="0.25">
      <c r="A69" s="103" t="s">
        <v>293</v>
      </c>
      <c r="B69" s="8">
        <f>('[4]32тарифы'!D167*B15)+('[4]32тарифы'!D187*B15)*1.12*1.0952</f>
        <v>18022.507076932576</v>
      </c>
      <c r="C69" s="23"/>
      <c r="D69" s="24"/>
    </row>
    <row r="70" spans="1:6" ht="63" x14ac:dyDescent="0.25">
      <c r="A70" s="136" t="s">
        <v>294</v>
      </c>
      <c r="B70" s="241">
        <f>SUM(B71:B71)</f>
        <v>98129.920000000013</v>
      </c>
      <c r="C70" s="23"/>
      <c r="D70" s="24"/>
    </row>
    <row r="71" spans="1:6" x14ac:dyDescent="0.25">
      <c r="A71" s="25" t="s">
        <v>295</v>
      </c>
      <c r="B71" s="11">
        <f>80000*1.12*1.0952</f>
        <v>98129.920000000013</v>
      </c>
      <c r="C71" s="23"/>
      <c r="D71" s="24"/>
    </row>
    <row r="72" spans="1:6" s="4" customFormat="1" x14ac:dyDescent="0.25">
      <c r="A72" s="133" t="s">
        <v>296</v>
      </c>
      <c r="B72" s="121">
        <f>SUM(B73:B76)</f>
        <v>90954.240757896419</v>
      </c>
      <c r="C72" s="23"/>
      <c r="D72" s="24"/>
    </row>
    <row r="73" spans="1:6" x14ac:dyDescent="0.25">
      <c r="A73" s="137" t="s">
        <v>297</v>
      </c>
      <c r="B73" s="11">
        <f>'[4]32тарифы'!D170*B15*1.12*1.0952</f>
        <v>68777.316675398106</v>
      </c>
      <c r="C73" s="23"/>
      <c r="D73" s="24"/>
    </row>
    <row r="74" spans="1:6" hidden="1" x14ac:dyDescent="0.25">
      <c r="A74" s="137" t="s">
        <v>298</v>
      </c>
      <c r="B74" s="11">
        <f>(B26/1.2)*30%</f>
        <v>0</v>
      </c>
      <c r="C74" s="23"/>
      <c r="D74" s="24"/>
    </row>
    <row r="75" spans="1:6" x14ac:dyDescent="0.25">
      <c r="A75" s="138" t="s">
        <v>299</v>
      </c>
      <c r="B75" s="11">
        <f>8012.88+7899.57</f>
        <v>15912.45</v>
      </c>
      <c r="C75" s="23"/>
      <c r="D75" s="24"/>
    </row>
    <row r="76" spans="1:6" x14ac:dyDescent="0.25">
      <c r="A76" s="138" t="s">
        <v>300</v>
      </c>
      <c r="B76" s="11">
        <f>'[4]32тарифы'!D173*B13*1.12*1.0952</f>
        <v>6264.4740824983128</v>
      </c>
      <c r="C76" s="23"/>
      <c r="D76" s="24"/>
    </row>
    <row r="77" spans="1:6" x14ac:dyDescent="0.25">
      <c r="A77" s="233" t="s">
        <v>301</v>
      </c>
      <c r="B77" s="14">
        <f>B32+B37+B41+B61+B70+B72</f>
        <v>665552.4931138691</v>
      </c>
      <c r="C77" s="23"/>
      <c r="D77" s="24"/>
    </row>
    <row r="78" spans="1:6" x14ac:dyDescent="0.25">
      <c r="A78" s="139" t="s">
        <v>302</v>
      </c>
      <c r="B78" s="11">
        <f>B77*0.03</f>
        <v>19966.574793416072</v>
      </c>
      <c r="C78" s="23"/>
      <c r="D78" s="24"/>
    </row>
    <row r="79" spans="1:6" s="18" customFormat="1" x14ac:dyDescent="0.25">
      <c r="A79" s="140" t="s">
        <v>303</v>
      </c>
      <c r="B79" s="121">
        <f>B77+B78</f>
        <v>685519.06790728518</v>
      </c>
      <c r="C79" s="23"/>
      <c r="D79" s="24"/>
    </row>
    <row r="80" spans="1:6" ht="16.5" thickBot="1" x14ac:dyDescent="0.3">
      <c r="A80" s="141" t="s">
        <v>304</v>
      </c>
      <c r="B80" s="142">
        <f>B79*0.2</f>
        <v>137103.81358145704</v>
      </c>
      <c r="C80" s="23"/>
      <c r="D80" s="24"/>
    </row>
    <row r="81" spans="1:4" s="4" customFormat="1" ht="16.5" thickBot="1" x14ac:dyDescent="0.3">
      <c r="A81" s="42" t="s">
        <v>305</v>
      </c>
      <c r="B81" s="242">
        <f>B79+B80</f>
        <v>822622.88148874219</v>
      </c>
      <c r="C81" s="40"/>
      <c r="D81" s="41"/>
    </row>
    <row r="82" spans="1:4" s="4" customFormat="1" ht="16.5" thickBot="1" x14ac:dyDescent="0.3">
      <c r="A82" s="42" t="s">
        <v>306</v>
      </c>
      <c r="B82" s="46">
        <f>B10+B24+B26+B28+B29-B81</f>
        <v>-1459448.101488742</v>
      </c>
      <c r="C82" s="43"/>
      <c r="D82" s="43"/>
    </row>
    <row r="83" spans="1:4" s="4" customFormat="1" ht="16.5" hidden="1" thickBot="1" x14ac:dyDescent="0.3">
      <c r="A83" s="44" t="s">
        <v>307</v>
      </c>
      <c r="B83" s="46"/>
      <c r="C83" s="43"/>
      <c r="D83" s="43"/>
    </row>
    <row r="84" spans="1:4" s="4" customFormat="1" hidden="1" x14ac:dyDescent="0.25">
      <c r="A84" s="243" t="s">
        <v>308</v>
      </c>
      <c r="B84" s="244"/>
      <c r="C84" s="43"/>
      <c r="D84" s="43"/>
    </row>
    <row r="85" spans="1:4" x14ac:dyDescent="0.25">
      <c r="B85" s="130"/>
    </row>
    <row r="86" spans="1:4" x14ac:dyDescent="0.25">
      <c r="A86" s="49"/>
    </row>
    <row r="87" spans="1:4" x14ac:dyDescent="0.25">
      <c r="A87" s="286" t="s">
        <v>542</v>
      </c>
      <c r="B87" s="286"/>
    </row>
    <row r="88" spans="1:4" x14ac:dyDescent="0.25">
      <c r="A88" s="49"/>
    </row>
    <row r="89" spans="1:4" hidden="1" x14ac:dyDescent="0.25">
      <c r="A89" s="292" t="s">
        <v>399</v>
      </c>
      <c r="B89" s="293"/>
      <c r="C89" s="51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6" spans="1:4" x14ac:dyDescent="0.25">
      <c r="A96"/>
    </row>
  </sheetData>
  <autoFilter ref="A31:G84" xr:uid="{00000000-0009-0000-0000-00000B000000}">
    <filterColumn colId="1">
      <filters>
        <filter val="-1 459 448,10"/>
        <filter val="100 110,55"/>
        <filter val="115 660,91"/>
        <filter val="12 068,67"/>
        <filter val="121 767,07"/>
        <filter val="13 166,63"/>
        <filter val="137 103,81"/>
        <filter val="15 912,45"/>
        <filter val="17 586,64"/>
        <filter val="18 022,51"/>
        <filter val="19 067,40"/>
        <filter val="19 658,57"/>
        <filter val="19 966,57"/>
        <filter val="2 839,20"/>
        <filter val="20 771,43"/>
        <filter val="208 227,53"/>
        <filter val="21 321,87"/>
        <filter val="24 000,00"/>
        <filter val="3 447,60"/>
        <filter val="3 512,84"/>
        <filter val="31 147,48"/>
        <filter val="4 200,00"/>
        <filter val="46 005,13"/>
        <filter val="5 753,36"/>
        <filter val="52 469,35"/>
        <filter val="6 264,47"/>
        <filter val="64,67"/>
        <filter val="665 552,49"/>
        <filter val="68 777,32"/>
        <filter val="685 519,07"/>
        <filter val="8 133,61"/>
        <filter val="822 622,88"/>
        <filter val="83 933,67"/>
        <filter val="90 954,24"/>
        <filter val="98 129,92"/>
      </filters>
    </filterColumn>
  </autoFilter>
  <mergeCells count="9">
    <mergeCell ref="D8:D9"/>
    <mergeCell ref="A87:B87"/>
    <mergeCell ref="A89:B89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pageSetUpPr fitToPage="1"/>
  </sheetPr>
  <dimension ref="A1:G95"/>
  <sheetViews>
    <sheetView view="pageBreakPreview" topLeftCell="A70" zoomScale="70" zoomScaleNormal="100" zoomScaleSheetLayoutView="70" workbookViewId="0">
      <selection activeCell="A24" sqref="A24:B24"/>
    </sheetView>
  </sheetViews>
  <sheetFormatPr defaultRowHeight="12.75" x14ac:dyDescent="0.2"/>
  <cols>
    <col min="1" max="1" width="9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s="54" customFormat="1" ht="15.75" x14ac:dyDescent="0.25">
      <c r="A5" s="184" t="s">
        <v>24</v>
      </c>
      <c r="B5" s="184"/>
    </row>
    <row r="6" spans="1:4" ht="5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3.5" thickBot="1" x14ac:dyDescent="0.25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-894526.52</v>
      </c>
      <c r="C10" s="226"/>
      <c r="D10" s="226"/>
    </row>
    <row r="11" spans="1:4" s="227" customFormat="1" ht="16.5" hidden="1" thickBot="1" x14ac:dyDescent="0.3">
      <c r="A11" s="228" t="s">
        <v>232</v>
      </c>
      <c r="B11" s="229"/>
      <c r="C11" s="230"/>
      <c r="D11" s="230"/>
    </row>
    <row r="12" spans="1:4" ht="15.75" x14ac:dyDescent="0.25">
      <c r="A12" s="231" t="s">
        <v>233</v>
      </c>
      <c r="B12" s="210"/>
      <c r="C12" s="5" t="s">
        <v>234</v>
      </c>
      <c r="D12" s="6" t="s">
        <v>234</v>
      </c>
    </row>
    <row r="13" spans="1:4" ht="15.75" hidden="1" x14ac:dyDescent="0.25">
      <c r="A13" s="7" t="s">
        <v>235</v>
      </c>
      <c r="B13" s="8">
        <v>3599.3</v>
      </c>
      <c r="C13" s="9" t="s">
        <v>234</v>
      </c>
      <c r="D13" s="10" t="s">
        <v>234</v>
      </c>
    </row>
    <row r="14" spans="1:4" ht="15.75" hidden="1" x14ac:dyDescent="0.25">
      <c r="A14" s="7" t="s">
        <v>236</v>
      </c>
      <c r="B14" s="8">
        <v>0</v>
      </c>
      <c r="C14" s="9"/>
      <c r="D14" s="10"/>
    </row>
    <row r="15" spans="1:4" ht="15.75" hidden="1" x14ac:dyDescent="0.25">
      <c r="A15" s="123" t="s">
        <v>237</v>
      </c>
      <c r="B15" s="11">
        <f>B13+B14</f>
        <v>3599.3</v>
      </c>
      <c r="C15" s="9"/>
      <c r="D15" s="10"/>
    </row>
    <row r="16" spans="1:4" ht="15.75" hidden="1" x14ac:dyDescent="0.25">
      <c r="A16" s="123" t="s">
        <v>238</v>
      </c>
      <c r="B16" s="11">
        <f>1403.5+2733.6/3</f>
        <v>2314.6999999999998</v>
      </c>
      <c r="C16" s="9" t="s">
        <v>234</v>
      </c>
      <c r="D16" s="10" t="s">
        <v>234</v>
      </c>
    </row>
    <row r="17" spans="1:7" ht="15.75" hidden="1" x14ac:dyDescent="0.25">
      <c r="A17" s="7" t="s">
        <v>239</v>
      </c>
      <c r="B17" s="8">
        <v>0</v>
      </c>
      <c r="C17" s="9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7" t="s">
        <v>240</v>
      </c>
      <c r="B18" s="8">
        <v>874.2</v>
      </c>
      <c r="C18" s="9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7" t="s">
        <v>241</v>
      </c>
      <c r="B19" s="8">
        <v>817</v>
      </c>
      <c r="C19" s="9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7" t="s">
        <v>242</v>
      </c>
      <c r="B20" s="8">
        <v>1136</v>
      </c>
      <c r="C20" s="9"/>
      <c r="D20" s="10"/>
      <c r="E20" s="3"/>
      <c r="F20" s="3"/>
      <c r="G20" s="3"/>
    </row>
    <row r="21" spans="1:7" ht="15.75" hidden="1" x14ac:dyDescent="0.25">
      <c r="A21" s="7" t="s">
        <v>243</v>
      </c>
      <c r="B21" s="8">
        <v>0</v>
      </c>
      <c r="C21" s="9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7" t="s">
        <v>244</v>
      </c>
      <c r="B22" s="8">
        <v>213</v>
      </c>
      <c r="C22" s="9"/>
      <c r="D22" s="10"/>
      <c r="E22" s="3"/>
      <c r="F22" s="3"/>
      <c r="G22" s="3"/>
    </row>
    <row r="23" spans="1:7" ht="15.75" x14ac:dyDescent="0.25">
      <c r="A23" s="123"/>
      <c r="B23" s="11"/>
      <c r="C23" s="9"/>
      <c r="D23" s="10"/>
      <c r="E23" s="3">
        <f>E24*10*B15+F24*2*B15</f>
        <v>807610.93400000001</v>
      </c>
      <c r="F23" s="3"/>
      <c r="G23" s="3"/>
    </row>
    <row r="24" spans="1:7" ht="15.75" x14ac:dyDescent="0.25">
      <c r="A24" s="259" t="s">
        <v>317</v>
      </c>
      <c r="B24" s="255">
        <f>VLOOKUP(A5,мкд!W:X,2,FALSE)</f>
        <v>807657.88000000012</v>
      </c>
      <c r="C24" s="9"/>
      <c r="D24" s="10"/>
      <c r="E24" s="194">
        <v>18.47</v>
      </c>
      <c r="F24" s="195">
        <v>19.84</v>
      </c>
      <c r="G24" s="3"/>
    </row>
    <row r="25" spans="1:7" ht="15.75" x14ac:dyDescent="0.25">
      <c r="A25" s="124" t="s">
        <v>318</v>
      </c>
      <c r="B25" s="14">
        <f>VLOOKUP(A5,мкд!W:Y,3,FALSE)</f>
        <v>780444.31</v>
      </c>
      <c r="C25" s="9"/>
      <c r="D25" s="10"/>
      <c r="E25" s="3"/>
      <c r="F25" s="3"/>
      <c r="G25" s="3"/>
    </row>
    <row r="26" spans="1:7" ht="15.75" hidden="1" x14ac:dyDescent="0.25">
      <c r="A26" s="124" t="s">
        <v>319</v>
      </c>
      <c r="B26" s="14"/>
      <c r="C26" s="9"/>
      <c r="D26" s="10"/>
      <c r="E26" s="3"/>
      <c r="F26" s="3"/>
      <c r="G26" s="3"/>
    </row>
    <row r="27" spans="1:7" ht="15.75" hidden="1" x14ac:dyDescent="0.25">
      <c r="A27" s="124" t="s">
        <v>248</v>
      </c>
      <c r="B27" s="14">
        <f>B26</f>
        <v>0</v>
      </c>
      <c r="C27" s="9"/>
      <c r="D27" s="10"/>
      <c r="E27" s="3"/>
      <c r="F27" s="3"/>
      <c r="G27" s="3"/>
    </row>
    <row r="28" spans="1:7" ht="15.75" x14ac:dyDescent="0.25">
      <c r="A28" s="124" t="s">
        <v>391</v>
      </c>
      <c r="B28" s="14">
        <v>5323.83</v>
      </c>
      <c r="C28" s="9"/>
      <c r="D28" s="10"/>
      <c r="E28" s="3"/>
      <c r="F28" s="3"/>
      <c r="G28" s="3"/>
    </row>
    <row r="29" spans="1:7" ht="15.75" hidden="1" x14ac:dyDescent="0.25">
      <c r="A29" s="124" t="s">
        <v>250</v>
      </c>
      <c r="B29" s="11"/>
      <c r="C29" s="9"/>
      <c r="D29" s="10"/>
      <c r="E29" s="3"/>
      <c r="F29" s="3"/>
      <c r="G29" s="3"/>
    </row>
    <row r="30" spans="1:7" ht="15.75" x14ac:dyDescent="0.25">
      <c r="A30" s="125"/>
      <c r="B30" s="11"/>
      <c r="C30" s="9"/>
      <c r="D30" s="10"/>
      <c r="E30" s="3"/>
      <c r="F30" s="3"/>
      <c r="G30" s="3"/>
    </row>
    <row r="31" spans="1:7" ht="15.75" x14ac:dyDescent="0.25">
      <c r="A31" s="232" t="s">
        <v>251</v>
      </c>
      <c r="B31" s="11"/>
      <c r="C31" s="9"/>
      <c r="D31" s="10"/>
      <c r="E31" s="3"/>
      <c r="F31" s="3"/>
      <c r="G31" s="3"/>
    </row>
    <row r="32" spans="1:7" s="18" customFormat="1" ht="31.5" x14ac:dyDescent="0.25">
      <c r="A32" s="126" t="s">
        <v>252</v>
      </c>
      <c r="B32" s="121">
        <f>SUM(B33:B41)</f>
        <v>99423.209999999992</v>
      </c>
      <c r="C32" s="9"/>
      <c r="D32" s="10"/>
      <c r="E32" s="17">
        <f>(B86-B24-B26)/1.2/1.03</f>
        <v>202736.14888049813</v>
      </c>
      <c r="F32" s="17" t="e">
        <f>(#REF!-#REF!-#REF!)/1.2/1.03</f>
        <v>#REF!</v>
      </c>
      <c r="G32" s="17" t="e">
        <f>(#REF!-#REF!-#REF!)/1.2/1.03</f>
        <v>#REF!</v>
      </c>
    </row>
    <row r="33" spans="1:7" ht="15.75" x14ac:dyDescent="0.25">
      <c r="A33" s="127" t="s">
        <v>253</v>
      </c>
      <c r="B33" s="11">
        <v>98009.989999999991</v>
      </c>
      <c r="C33" s="9"/>
      <c r="D33" s="10">
        <v>29355.08</v>
      </c>
      <c r="E33" s="3"/>
      <c r="F33" s="3"/>
      <c r="G33" s="3"/>
    </row>
    <row r="34" spans="1:7" ht="15.75" hidden="1" x14ac:dyDescent="0.25">
      <c r="A34" s="127" t="s">
        <v>450</v>
      </c>
      <c r="B34" s="11"/>
      <c r="C34" s="9"/>
      <c r="D34" s="10">
        <v>0</v>
      </c>
      <c r="E34" s="3"/>
      <c r="F34" s="3"/>
      <c r="G34" s="3"/>
    </row>
    <row r="35" spans="1:7" ht="15.75" hidden="1" x14ac:dyDescent="0.25">
      <c r="A35" s="127" t="s">
        <v>255</v>
      </c>
      <c r="B35" s="11"/>
      <c r="C35" s="9"/>
      <c r="D35" s="10">
        <v>0</v>
      </c>
      <c r="E35" s="3"/>
      <c r="F35" s="3"/>
      <c r="G35" s="3"/>
    </row>
    <row r="36" spans="1:7" ht="16.5" hidden="1" x14ac:dyDescent="0.25">
      <c r="A36" s="146" t="s">
        <v>429</v>
      </c>
      <c r="B36" s="145"/>
      <c r="C36" s="9" t="s">
        <v>234</v>
      </c>
      <c r="D36" s="10">
        <v>0</v>
      </c>
      <c r="E36" s="3"/>
      <c r="F36" s="3"/>
      <c r="G36" s="3"/>
    </row>
    <row r="37" spans="1:7" ht="15.75" hidden="1" x14ac:dyDescent="0.25">
      <c r="A37" s="127" t="s">
        <v>257</v>
      </c>
      <c r="B37" s="11"/>
      <c r="C37" s="9"/>
      <c r="D37" s="10">
        <v>0</v>
      </c>
      <c r="E37" s="3"/>
      <c r="F37" s="3"/>
      <c r="G37" s="3"/>
    </row>
    <row r="38" spans="1:7" ht="15.75" hidden="1" x14ac:dyDescent="0.25">
      <c r="A38" s="127" t="s">
        <v>258</v>
      </c>
      <c r="B38" s="11">
        <v>0</v>
      </c>
      <c r="C38" s="9"/>
      <c r="D38" s="10">
        <v>0</v>
      </c>
      <c r="E38" s="3"/>
      <c r="F38" s="3"/>
      <c r="G38" s="3"/>
    </row>
    <row r="39" spans="1:7" ht="15.75" hidden="1" x14ac:dyDescent="0.25">
      <c r="A39" s="19" t="s">
        <v>259</v>
      </c>
      <c r="B39" s="11">
        <v>0</v>
      </c>
      <c r="C39" s="9"/>
      <c r="D39" s="10">
        <v>0</v>
      </c>
      <c r="E39" s="3"/>
      <c r="F39" s="3"/>
      <c r="G39" s="3"/>
    </row>
    <row r="40" spans="1:7" ht="15.75" x14ac:dyDescent="0.25">
      <c r="A40" s="19" t="s">
        <v>310</v>
      </c>
      <c r="B40" s="11">
        <v>1413.22</v>
      </c>
      <c r="C40" s="9"/>
      <c r="D40" s="10"/>
      <c r="E40" s="3"/>
      <c r="F40" s="3"/>
      <c r="G40" s="3"/>
    </row>
    <row r="41" spans="1:7" ht="15.75" hidden="1" x14ac:dyDescent="0.25">
      <c r="A41" s="19" t="s">
        <v>335</v>
      </c>
      <c r="B41" s="11"/>
      <c r="C41" s="9"/>
      <c r="D41" s="10"/>
      <c r="E41" s="3"/>
      <c r="F41" s="3"/>
      <c r="G41" s="3"/>
    </row>
    <row r="42" spans="1:7" s="18" customFormat="1" ht="47.25" x14ac:dyDescent="0.25">
      <c r="A42" s="126" t="s">
        <v>393</v>
      </c>
      <c r="B42" s="121">
        <f>SUM(B43:B45)</f>
        <v>21074.86266658529</v>
      </c>
      <c r="C42" s="9"/>
      <c r="D42" s="10"/>
      <c r="E42" s="17"/>
      <c r="F42" s="17"/>
      <c r="G42" s="17"/>
    </row>
    <row r="43" spans="1:7" ht="15.75" hidden="1" x14ac:dyDescent="0.25">
      <c r="A43" s="19" t="s">
        <v>262</v>
      </c>
      <c r="B43" s="11"/>
      <c r="C43" s="23"/>
      <c r="D43" s="24"/>
      <c r="E43" s="3"/>
      <c r="F43" s="3"/>
      <c r="G43" s="3"/>
    </row>
    <row r="44" spans="1:7" ht="15.75" hidden="1" x14ac:dyDescent="0.25">
      <c r="A44" s="19" t="s">
        <v>263</v>
      </c>
      <c r="B44" s="11"/>
      <c r="C44" s="23"/>
      <c r="D44" s="24"/>
      <c r="E44" s="3"/>
      <c r="F44" s="3"/>
      <c r="G44" s="3"/>
    </row>
    <row r="45" spans="1:7" ht="15.75" x14ac:dyDescent="0.25">
      <c r="A45" s="129" t="s">
        <v>264</v>
      </c>
      <c r="B45" s="11">
        <f>'[4]32тарифы'!D163*B15*1.0952+143.72*1.12</f>
        <v>21074.86266658529</v>
      </c>
      <c r="C45" s="23"/>
      <c r="D45" s="24"/>
      <c r="E45" s="3"/>
      <c r="F45" s="3"/>
      <c r="G45" s="3"/>
    </row>
    <row r="46" spans="1:7" s="4" customFormat="1" ht="15.75" x14ac:dyDescent="0.25">
      <c r="A46" s="126" t="s">
        <v>265</v>
      </c>
      <c r="B46" s="121">
        <f>SUM(B47:B65)</f>
        <v>240163.84999999998</v>
      </c>
      <c r="C46" s="9"/>
      <c r="D46" s="10"/>
    </row>
    <row r="47" spans="1:7" ht="15.75" x14ac:dyDescent="0.25">
      <c r="A47" s="127" t="s">
        <v>324</v>
      </c>
      <c r="B47" s="11">
        <v>3671.64</v>
      </c>
      <c r="C47" s="9"/>
      <c r="D47" s="10"/>
      <c r="E47" s="3" t="s">
        <v>267</v>
      </c>
      <c r="F47" s="3"/>
      <c r="G47" s="3"/>
    </row>
    <row r="48" spans="1:7" ht="15.75" x14ac:dyDescent="0.25">
      <c r="A48" s="127" t="s">
        <v>315</v>
      </c>
      <c r="B48" s="11">
        <v>4458.42</v>
      </c>
      <c r="C48" s="9"/>
      <c r="D48" s="10"/>
      <c r="E48" s="3" t="s">
        <v>269</v>
      </c>
      <c r="F48" s="3"/>
      <c r="G48" s="3"/>
    </row>
    <row r="49" spans="1:5" ht="15.75" hidden="1" x14ac:dyDescent="0.25">
      <c r="A49" s="95" t="s">
        <v>270</v>
      </c>
      <c r="B49" s="11">
        <v>0</v>
      </c>
      <c r="C49" s="9"/>
      <c r="D49" s="10"/>
      <c r="E49" s="3"/>
    </row>
    <row r="50" spans="1:5" ht="15.75" x14ac:dyDescent="0.25">
      <c r="A50" s="95" t="s">
        <v>395</v>
      </c>
      <c r="B50" s="8">
        <f>VLOOKUP(A5,'[2]МКД 33'!$AI:$FO,137,FALSE)</f>
        <v>25423.200000000004</v>
      </c>
      <c r="C50" s="9"/>
      <c r="D50" s="10"/>
      <c r="E50" s="3"/>
    </row>
    <row r="51" spans="1:5" ht="15.75" hidden="1" x14ac:dyDescent="0.25">
      <c r="A51" s="95" t="s">
        <v>281</v>
      </c>
      <c r="B51" s="11">
        <v>0</v>
      </c>
      <c r="C51" s="9"/>
      <c r="D51" s="10"/>
      <c r="E51" s="3"/>
    </row>
    <row r="52" spans="1:5" ht="15.75" x14ac:dyDescent="0.25">
      <c r="A52" s="95" t="s">
        <v>520</v>
      </c>
      <c r="B52" s="11">
        <v>4200</v>
      </c>
      <c r="C52" s="9"/>
      <c r="D52" s="10">
        <v>105.14</v>
      </c>
      <c r="E52" s="3"/>
    </row>
    <row r="53" spans="1:5" ht="15.75" x14ac:dyDescent="0.25">
      <c r="A53" s="95" t="s">
        <v>410</v>
      </c>
      <c r="B53" s="8">
        <v>24000</v>
      </c>
      <c r="C53" s="9">
        <v>1</v>
      </c>
      <c r="D53" s="10">
        <v>522.99</v>
      </c>
      <c r="E53" s="3"/>
    </row>
    <row r="54" spans="1:5" ht="15.75" x14ac:dyDescent="0.25">
      <c r="A54" s="26" t="s">
        <v>353</v>
      </c>
      <c r="B54" s="8">
        <v>8133.61</v>
      </c>
      <c r="C54" s="9">
        <v>1</v>
      </c>
      <c r="D54" s="28">
        <v>657.53</v>
      </c>
      <c r="E54" s="3"/>
    </row>
    <row r="55" spans="1:5" ht="15.75" hidden="1" x14ac:dyDescent="0.25">
      <c r="A55" s="95" t="s">
        <v>276</v>
      </c>
      <c r="B55" s="11">
        <v>0</v>
      </c>
      <c r="C55" s="9"/>
      <c r="D55" s="28"/>
      <c r="E55" s="3"/>
    </row>
    <row r="56" spans="1:5" ht="18" customHeight="1" x14ac:dyDescent="0.25">
      <c r="A56" s="95" t="s">
        <v>518</v>
      </c>
      <c r="B56" s="11">
        <v>18312.73</v>
      </c>
      <c r="C56" s="9">
        <v>0</v>
      </c>
      <c r="D56" s="10">
        <f>10695.76/1.18</f>
        <v>9064.203389830509</v>
      </c>
      <c r="E56" s="3"/>
    </row>
    <row r="57" spans="1:5" ht="15.75" customHeight="1" x14ac:dyDescent="0.25">
      <c r="A57" s="95" t="s">
        <v>521</v>
      </c>
      <c r="B57" s="11">
        <v>79800</v>
      </c>
      <c r="C57" s="9">
        <v>0</v>
      </c>
      <c r="D57" s="10">
        <f>2300/1.18</f>
        <v>1949.1525423728815</v>
      </c>
      <c r="E57" s="3"/>
    </row>
    <row r="58" spans="1:5" ht="15.75" x14ac:dyDescent="0.25">
      <c r="A58" s="95" t="s">
        <v>519</v>
      </c>
      <c r="B58" s="8">
        <v>15912</v>
      </c>
      <c r="C58" s="9">
        <v>0</v>
      </c>
      <c r="D58" s="10">
        <v>0</v>
      </c>
      <c r="E58" s="130">
        <f>B80+B46+502.09</f>
        <v>259389.27999999997</v>
      </c>
    </row>
    <row r="59" spans="1:5" ht="15.75" hidden="1" x14ac:dyDescent="0.25">
      <c r="A59" s="95" t="s">
        <v>278</v>
      </c>
      <c r="B59" s="8">
        <f>B13*'[4]32тарифы'!D184</f>
        <v>0</v>
      </c>
      <c r="C59" s="9"/>
      <c r="D59" s="10"/>
      <c r="E59" s="3"/>
    </row>
    <row r="60" spans="1:5" ht="15.75" hidden="1" x14ac:dyDescent="0.25">
      <c r="A60" s="19" t="s">
        <v>279</v>
      </c>
      <c r="B60" s="70">
        <v>0</v>
      </c>
      <c r="C60" s="9"/>
      <c r="D60" s="10"/>
      <c r="E60" s="3"/>
    </row>
    <row r="61" spans="1:5" ht="15.75" hidden="1" x14ac:dyDescent="0.25">
      <c r="A61" s="19" t="s">
        <v>280</v>
      </c>
      <c r="B61" s="70">
        <v>0</v>
      </c>
      <c r="C61" s="9"/>
      <c r="D61" s="10">
        <v>0</v>
      </c>
      <c r="E61" s="3"/>
    </row>
    <row r="62" spans="1:5" ht="15.75" hidden="1" x14ac:dyDescent="0.25">
      <c r="A62" s="127" t="s">
        <v>274</v>
      </c>
      <c r="B62" s="11"/>
      <c r="C62" s="9"/>
      <c r="D62" s="10">
        <v>0</v>
      </c>
      <c r="E62" s="3"/>
    </row>
    <row r="63" spans="1:5" ht="15.75" x14ac:dyDescent="0.25">
      <c r="A63" s="127" t="s">
        <v>325</v>
      </c>
      <c r="B63" s="132">
        <v>25364.49</v>
      </c>
      <c r="C63" s="30">
        <v>1</v>
      </c>
      <c r="D63" s="10">
        <v>0</v>
      </c>
      <c r="E63" s="3"/>
    </row>
    <row r="64" spans="1:5" ht="15.75" hidden="1" x14ac:dyDescent="0.25">
      <c r="A64" s="19" t="s">
        <v>283</v>
      </c>
      <c r="B64" s="132">
        <v>0</v>
      </c>
      <c r="C64" s="30">
        <v>80</v>
      </c>
      <c r="D64" s="10">
        <v>2</v>
      </c>
      <c r="E64" s="3">
        <v>1</v>
      </c>
    </row>
    <row r="65" spans="1:4" ht="16.5" x14ac:dyDescent="0.25">
      <c r="A65" s="147" t="s">
        <v>429</v>
      </c>
      <c r="B65" s="132">
        <v>30887.759999999998</v>
      </c>
      <c r="C65" s="32"/>
      <c r="D65" s="24">
        <v>0</v>
      </c>
    </row>
    <row r="66" spans="1:4" s="4" customFormat="1" ht="15.75" x14ac:dyDescent="0.25">
      <c r="A66" s="133" t="s">
        <v>285</v>
      </c>
      <c r="B66" s="121">
        <f>SUM(B67:B74)</f>
        <v>239293.78097401341</v>
      </c>
      <c r="C66" s="23"/>
      <c r="D66" s="24"/>
    </row>
    <row r="67" spans="1:4" ht="15.75" hidden="1" x14ac:dyDescent="0.25">
      <c r="A67" s="19" t="s">
        <v>286</v>
      </c>
      <c r="B67" s="11">
        <v>0</v>
      </c>
      <c r="C67" s="23"/>
      <c r="D67" s="24"/>
    </row>
    <row r="68" spans="1:4" ht="15.75" x14ac:dyDescent="0.25">
      <c r="A68" s="127" t="s">
        <v>287</v>
      </c>
      <c r="B68" s="135">
        <f>101705*1.04*1.12*1.01</f>
        <v>119650.64384000002</v>
      </c>
      <c r="C68" s="23">
        <f>B68/B16</f>
        <v>51.691642044325413</v>
      </c>
      <c r="D68" s="24"/>
    </row>
    <row r="69" spans="1:4" ht="15.75" hidden="1" x14ac:dyDescent="0.25">
      <c r="A69" s="19" t="s">
        <v>288</v>
      </c>
      <c r="B69" s="11">
        <v>0</v>
      </c>
      <c r="C69" s="23"/>
      <c r="D69" s="24"/>
    </row>
    <row r="70" spans="1:4" ht="15.75" x14ac:dyDescent="0.25">
      <c r="A70" s="129" t="s">
        <v>289</v>
      </c>
      <c r="B70" s="11">
        <f>1.35*B15</f>
        <v>4859.0550000000003</v>
      </c>
      <c r="C70" s="23"/>
      <c r="D70" s="24"/>
    </row>
    <row r="71" spans="1:4" ht="15.75" x14ac:dyDescent="0.25">
      <c r="A71" s="129" t="s">
        <v>290</v>
      </c>
      <c r="B71" s="11">
        <f>5.06*B15</f>
        <v>18212.457999999999</v>
      </c>
      <c r="C71" s="23"/>
      <c r="D71" s="24"/>
    </row>
    <row r="72" spans="1:4" ht="15.75" x14ac:dyDescent="0.25">
      <c r="A72" s="129" t="s">
        <v>291</v>
      </c>
      <c r="B72" s="11">
        <f>17.68*B15</f>
        <v>63635.624000000003</v>
      </c>
      <c r="C72" s="23"/>
      <c r="D72" s="24"/>
    </row>
    <row r="73" spans="1:4" ht="15.75" x14ac:dyDescent="0.25">
      <c r="A73" s="129" t="s">
        <v>292</v>
      </c>
      <c r="B73" s="11">
        <f>6276.41*1.04*1.12*1.0952</f>
        <v>8006.7469454336006</v>
      </c>
      <c r="C73" s="23"/>
      <c r="D73" s="24"/>
    </row>
    <row r="74" spans="1:4" ht="15.75" x14ac:dyDescent="0.25">
      <c r="A74" s="129" t="s">
        <v>293</v>
      </c>
      <c r="B74" s="11">
        <f>('[4]32тарифы'!D167*B15)+('[4]32тарифы'!D187*B15)*1.12*1.0952</f>
        <v>24929.253188579773</v>
      </c>
      <c r="C74" s="23"/>
      <c r="D74" s="24"/>
    </row>
    <row r="75" spans="1:4" ht="63" x14ac:dyDescent="0.25">
      <c r="A75" s="136" t="s">
        <v>294</v>
      </c>
      <c r="B75" s="121">
        <f>SUM(B76:B76)</f>
        <v>133702.016</v>
      </c>
      <c r="C75" s="23"/>
      <c r="D75" s="24"/>
    </row>
    <row r="76" spans="1:4" ht="15.75" x14ac:dyDescent="0.25">
      <c r="A76" s="129" t="s">
        <v>295</v>
      </c>
      <c r="B76" s="11">
        <f>109000*1.12*1.0952</f>
        <v>133702.016</v>
      </c>
      <c r="C76" s="23">
        <f>B76/B15</f>
        <v>37.14667185286028</v>
      </c>
      <c r="D76" s="24"/>
    </row>
    <row r="77" spans="1:4" s="4" customFormat="1" ht="31.5" x14ac:dyDescent="0.25">
      <c r="A77" s="133" t="s">
        <v>296</v>
      </c>
      <c r="B77" s="121">
        <f>SUM(B78:B81)</f>
        <v>122523.31597129113</v>
      </c>
      <c r="C77" s="23"/>
      <c r="D77" s="24"/>
    </row>
    <row r="78" spans="1:4" ht="15.75" x14ac:dyDescent="0.25">
      <c r="A78" s="137" t="s">
        <v>297</v>
      </c>
      <c r="B78" s="11">
        <f>'[4]32тарифы'!D170*B15*1.12*1.0952</f>
        <v>95134.774186142153</v>
      </c>
      <c r="C78" s="23"/>
      <c r="D78" s="24"/>
    </row>
    <row r="79" spans="1:4" ht="15.75" hidden="1" x14ac:dyDescent="0.25">
      <c r="A79" s="137" t="s">
        <v>298</v>
      </c>
      <c r="B79" s="135">
        <f>(B26/1.2)*30%</f>
        <v>0</v>
      </c>
      <c r="C79" s="23"/>
      <c r="D79" s="24"/>
    </row>
    <row r="80" spans="1:4" ht="15.75" x14ac:dyDescent="0.25">
      <c r="A80" s="138" t="s">
        <v>299</v>
      </c>
      <c r="B80" s="11">
        <f>10740.58+7982.76</f>
        <v>18723.34</v>
      </c>
      <c r="C80" s="23"/>
      <c r="D80" s="24"/>
    </row>
    <row r="81" spans="1:4" ht="15.75" x14ac:dyDescent="0.25">
      <c r="A81" s="138" t="s">
        <v>300</v>
      </c>
      <c r="B81" s="11">
        <f>'[4]32тарифы'!D173*B13*1.12*1.0952</f>
        <v>8665.2017851489873</v>
      </c>
      <c r="C81" s="23"/>
      <c r="D81" s="24"/>
    </row>
    <row r="82" spans="1:4" ht="15.75" x14ac:dyDescent="0.25">
      <c r="A82" s="233" t="s">
        <v>301</v>
      </c>
      <c r="B82" s="14">
        <f>B32+B42+B46+B66+B75+B77</f>
        <v>856181.03561188979</v>
      </c>
      <c r="C82" s="23"/>
      <c r="D82" s="24"/>
    </row>
    <row r="83" spans="1:4" ht="15.75" x14ac:dyDescent="0.25">
      <c r="A83" s="139" t="s">
        <v>302</v>
      </c>
      <c r="B83" s="11">
        <f>B82*0.03</f>
        <v>25685.431068356691</v>
      </c>
      <c r="C83" s="23"/>
      <c r="D83" s="24"/>
    </row>
    <row r="84" spans="1:4" s="18" customFormat="1" ht="15.75" x14ac:dyDescent="0.25">
      <c r="A84" s="140" t="s">
        <v>303</v>
      </c>
      <c r="B84" s="121">
        <f>B82+B83</f>
        <v>881866.46668024652</v>
      </c>
      <c r="C84" s="23"/>
      <c r="D84" s="24"/>
    </row>
    <row r="85" spans="1:4" ht="16.5" thickBot="1" x14ac:dyDescent="0.3">
      <c r="A85" s="141" t="s">
        <v>304</v>
      </c>
      <c r="B85" s="142">
        <f>B84*0.2</f>
        <v>176373.2933360493</v>
      </c>
      <c r="C85" s="23"/>
      <c r="D85" s="24"/>
    </row>
    <row r="86" spans="1:4" s="4" customFormat="1" ht="16.5" thickBot="1" x14ac:dyDescent="0.3">
      <c r="A86" s="38" t="s">
        <v>305</v>
      </c>
      <c r="B86" s="46">
        <f>B84+B85</f>
        <v>1058239.7600162958</v>
      </c>
      <c r="C86" s="40"/>
      <c r="D86" s="41"/>
    </row>
    <row r="87" spans="1:4" s="4" customFormat="1" ht="16.5" thickBot="1" x14ac:dyDescent="0.3">
      <c r="A87" s="42" t="s">
        <v>306</v>
      </c>
      <c r="B87" s="46">
        <f>B10+B24+B26+B28+B29-B86</f>
        <v>-1139784.5700162956</v>
      </c>
      <c r="C87" s="43"/>
      <c r="D87" s="43"/>
    </row>
    <row r="88" spans="1:4" s="4" customFormat="1" ht="16.5" hidden="1" thickBot="1" x14ac:dyDescent="0.3">
      <c r="A88" s="44" t="s">
        <v>307</v>
      </c>
      <c r="B88" s="46"/>
      <c r="C88" s="43"/>
      <c r="D88" s="43"/>
    </row>
    <row r="89" spans="1:4" s="4" customFormat="1" ht="16.5" hidden="1" thickBot="1" x14ac:dyDescent="0.3">
      <c r="A89" s="143" t="s">
        <v>308</v>
      </c>
      <c r="B89" s="46"/>
      <c r="C89" s="43"/>
      <c r="D89" s="43"/>
    </row>
    <row r="90" spans="1:4" ht="15.75" x14ac:dyDescent="0.25">
      <c r="A90" s="3"/>
      <c r="B90" s="130"/>
      <c r="C90" s="3"/>
      <c r="D90" s="3"/>
    </row>
    <row r="91" spans="1:4" ht="15.75" x14ac:dyDescent="0.25">
      <c r="A91" s="49"/>
      <c r="B91" s="3"/>
      <c r="C91" s="3"/>
      <c r="D91" s="3"/>
    </row>
    <row r="92" spans="1:4" ht="15.75" x14ac:dyDescent="0.25">
      <c r="A92" s="286" t="s">
        <v>542</v>
      </c>
      <c r="B92" s="286"/>
      <c r="C92" s="3"/>
      <c r="D92" s="3"/>
    </row>
    <row r="93" spans="1:4" ht="15.75" x14ac:dyDescent="0.25">
      <c r="A93" s="49"/>
      <c r="B93" s="3"/>
      <c r="C93" s="3"/>
      <c r="D93" s="3"/>
    </row>
    <row r="94" spans="1:4" ht="15.75" hidden="1" x14ac:dyDescent="0.25">
      <c r="A94" s="292" t="s">
        <v>399</v>
      </c>
      <c r="B94" s="292"/>
      <c r="C94" s="51"/>
      <c r="D94" s="3"/>
    </row>
    <row r="95" spans="1:4" ht="15.75" x14ac:dyDescent="0.25">
      <c r="A95" s="3"/>
      <c r="B95" s="3"/>
      <c r="C95" s="3"/>
      <c r="D95" s="3"/>
    </row>
  </sheetData>
  <autoFilter ref="A31:G89" xr:uid="{00000000-0009-0000-0000-00000C000000}">
    <filterColumn colId="1">
      <filters>
        <filter val="1 058 239,76"/>
        <filter val="-1 139 784,57"/>
        <filter val="1 413,22"/>
        <filter val="119 650,64"/>
        <filter val="122 523,32"/>
        <filter val="133 702,02"/>
        <filter val="15 912,00"/>
        <filter val="176 373,29"/>
        <filter val="18 212,46"/>
        <filter val="18 312,73"/>
        <filter val="18 723,34"/>
        <filter val="21 074,86"/>
        <filter val="239 293,78"/>
        <filter val="24 000,00"/>
        <filter val="24 929,25"/>
        <filter val="240 163,85"/>
        <filter val="25 364,49"/>
        <filter val="25 423,20"/>
        <filter val="25 685,43"/>
        <filter val="3 671,64"/>
        <filter val="30 887,76"/>
        <filter val="4 200,00"/>
        <filter val="4 458,42"/>
        <filter val="4 859,06"/>
        <filter val="63 635,62"/>
        <filter val="79 800,00"/>
        <filter val="8 006,75"/>
        <filter val="8 133,61"/>
        <filter val="8 665,20"/>
        <filter val="856 181,04"/>
        <filter val="881 866,47"/>
        <filter val="95 134,77"/>
        <filter val="98 009,99"/>
        <filter val="99 423,21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>
    <pageSetUpPr fitToPage="1"/>
  </sheetPr>
  <dimension ref="A1:G95"/>
  <sheetViews>
    <sheetView view="pageBreakPreview" topLeftCell="A81" zoomScale="70" zoomScaleNormal="100" zoomScaleSheetLayoutView="70" workbookViewId="0">
      <selection activeCell="A24" sqref="A24:B24"/>
    </sheetView>
  </sheetViews>
  <sheetFormatPr defaultRowHeight="12.75" x14ac:dyDescent="0.2"/>
  <cols>
    <col min="1" max="1" width="92.140625" customWidth="1"/>
    <col min="2" max="2" width="18.14062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6" ht="16.5" customHeight="1" x14ac:dyDescent="0.25">
      <c r="A1" s="269" t="s">
        <v>224</v>
      </c>
      <c r="B1" s="269"/>
      <c r="C1" s="54"/>
      <c r="D1" s="54"/>
    </row>
    <row r="2" spans="1:6" ht="16.5" x14ac:dyDescent="0.25">
      <c r="A2" s="270" t="s">
        <v>225</v>
      </c>
      <c r="B2" s="270"/>
      <c r="C2" s="54"/>
      <c r="D2" s="54"/>
    </row>
    <row r="3" spans="1:6" ht="16.5" x14ac:dyDescent="0.25">
      <c r="A3" s="270" t="s">
        <v>226</v>
      </c>
      <c r="B3" s="270"/>
      <c r="C3" s="54"/>
      <c r="D3" s="54"/>
    </row>
    <row r="4" spans="1:6" s="3" customFormat="1" ht="15.75" x14ac:dyDescent="0.25">
      <c r="A4" s="184" t="s">
        <v>494</v>
      </c>
      <c r="B4" s="184"/>
    </row>
    <row r="5" spans="1:6" ht="15.75" x14ac:dyDescent="0.25">
      <c r="A5" s="184" t="s">
        <v>26</v>
      </c>
      <c r="B5" s="184"/>
      <c r="C5" s="54"/>
      <c r="D5" s="54"/>
    </row>
    <row r="6" spans="1:6" ht="5.25" customHeight="1" x14ac:dyDescent="0.25">
      <c r="A6" s="184"/>
      <c r="B6" s="4"/>
      <c r="C6" s="55"/>
      <c r="D6" s="54"/>
    </row>
    <row r="7" spans="1:6" s="3" customFormat="1" ht="16.5" thickBot="1" x14ac:dyDescent="0.3">
      <c r="A7" s="186"/>
      <c r="B7" s="4"/>
      <c r="C7" s="4"/>
    </row>
    <row r="8" spans="1:6" ht="15.75" customHeight="1" x14ac:dyDescent="0.2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6" ht="13.5" thickBot="1" x14ac:dyDescent="0.25">
      <c r="A9" s="289"/>
      <c r="B9" s="291"/>
      <c r="C9" s="266"/>
      <c r="D9" s="266"/>
    </row>
    <row r="10" spans="1:6" s="227" customFormat="1" ht="16.5" thickBot="1" x14ac:dyDescent="0.3">
      <c r="A10" s="225" t="s">
        <v>231</v>
      </c>
      <c r="B10" s="204">
        <f>VLOOKUP(A5,мкд!S:T,2,FALSE)</f>
        <v>-744046.22</v>
      </c>
      <c r="C10" s="226"/>
      <c r="D10" s="226"/>
    </row>
    <row r="11" spans="1:6" s="227" customFormat="1" ht="16.5" hidden="1" thickBot="1" x14ac:dyDescent="0.3">
      <c r="A11" s="228" t="s">
        <v>232</v>
      </c>
      <c r="B11" s="229"/>
      <c r="C11" s="230"/>
      <c r="D11" s="230"/>
    </row>
    <row r="12" spans="1:6" ht="15.75" x14ac:dyDescent="0.25">
      <c r="A12" s="231" t="s">
        <v>233</v>
      </c>
      <c r="B12" s="210"/>
      <c r="C12" s="5" t="s">
        <v>234</v>
      </c>
      <c r="D12" s="6" t="s">
        <v>234</v>
      </c>
    </row>
    <row r="13" spans="1:6" s="3" customFormat="1" ht="15.75" hidden="1" x14ac:dyDescent="0.25">
      <c r="A13" s="7" t="s">
        <v>235</v>
      </c>
      <c r="B13" s="8">
        <v>5631.3</v>
      </c>
      <c r="C13" s="122" t="s">
        <v>234</v>
      </c>
      <c r="D13" s="10" t="s">
        <v>234</v>
      </c>
    </row>
    <row r="14" spans="1:6" s="3" customFormat="1" ht="15.75" hidden="1" x14ac:dyDescent="0.25">
      <c r="A14" s="7" t="s">
        <v>236</v>
      </c>
      <c r="B14" s="8">
        <v>0</v>
      </c>
      <c r="C14" s="122"/>
      <c r="D14" s="10"/>
    </row>
    <row r="15" spans="1:6" s="3" customFormat="1" ht="15.75" hidden="1" x14ac:dyDescent="0.25">
      <c r="A15" s="123" t="s">
        <v>237</v>
      </c>
      <c r="B15" s="11">
        <f>B13+B14</f>
        <v>5631.3</v>
      </c>
      <c r="C15" s="9"/>
      <c r="D15" s="10"/>
    </row>
    <row r="16" spans="1:6" s="3" customFormat="1" ht="15.75" hidden="1" x14ac:dyDescent="0.25">
      <c r="A16" s="123" t="s">
        <v>238</v>
      </c>
      <c r="B16" s="11">
        <f>1289.6+3687.3/3</f>
        <v>2518.6999999999998</v>
      </c>
      <c r="C16" s="9" t="s">
        <v>234</v>
      </c>
      <c r="D16" s="10" t="s">
        <v>234</v>
      </c>
      <c r="E16" s="3">
        <v>10</v>
      </c>
      <c r="F16" s="3">
        <v>2</v>
      </c>
    </row>
    <row r="17" spans="1:7" s="156" customFormat="1" ht="15.75" hidden="1" x14ac:dyDescent="0.25">
      <c r="A17" s="7" t="s">
        <v>239</v>
      </c>
      <c r="B17" s="8">
        <v>0</v>
      </c>
      <c r="C17" s="154" t="s">
        <v>234</v>
      </c>
      <c r="D17" s="155" t="s">
        <v>234</v>
      </c>
    </row>
    <row r="18" spans="1:7" s="3" customFormat="1" ht="15.75" hidden="1" x14ac:dyDescent="0.25">
      <c r="A18" s="7" t="s">
        <v>240</v>
      </c>
      <c r="B18" s="8">
        <v>781</v>
      </c>
      <c r="C18" s="122" t="s">
        <v>234</v>
      </c>
      <c r="D18" s="10" t="s">
        <v>234</v>
      </c>
    </row>
    <row r="19" spans="1:7" s="3" customFormat="1" ht="15.75" hidden="1" x14ac:dyDescent="0.25">
      <c r="A19" s="7" t="s">
        <v>241</v>
      </c>
      <c r="B19" s="8">
        <v>0</v>
      </c>
      <c r="C19" s="122" t="s">
        <v>234</v>
      </c>
      <c r="D19" s="10" t="s">
        <v>234</v>
      </c>
    </row>
    <row r="20" spans="1:7" s="3" customFormat="1" ht="15.75" hidden="1" x14ac:dyDescent="0.25">
      <c r="A20" s="7" t="s">
        <v>242</v>
      </c>
      <c r="B20" s="8">
        <v>845</v>
      </c>
      <c r="C20" s="122"/>
      <c r="D20" s="10"/>
    </row>
    <row r="21" spans="1:7" s="3" customFormat="1" ht="15.75" hidden="1" x14ac:dyDescent="0.25">
      <c r="A21" s="7" t="s">
        <v>243</v>
      </c>
      <c r="B21" s="8">
        <v>3</v>
      </c>
      <c r="C21" s="122" t="s">
        <v>234</v>
      </c>
      <c r="D21" s="10" t="s">
        <v>234</v>
      </c>
    </row>
    <row r="22" spans="1:7" s="3" customFormat="1" ht="15.75" hidden="1" x14ac:dyDescent="0.25">
      <c r="A22" s="7" t="s">
        <v>244</v>
      </c>
      <c r="B22" s="8">
        <v>304</v>
      </c>
      <c r="C22" s="122"/>
      <c r="D22" s="10"/>
      <c r="E22" s="3">
        <v>10</v>
      </c>
      <c r="F22" s="3">
        <v>2</v>
      </c>
    </row>
    <row r="23" spans="1:7" ht="15.75" x14ac:dyDescent="0.25">
      <c r="A23" s="123"/>
      <c r="B23" s="11"/>
      <c r="C23" s="9"/>
      <c r="D23" s="10"/>
      <c r="E23" s="194">
        <v>9.48</v>
      </c>
      <c r="F23" s="195">
        <v>10.18</v>
      </c>
      <c r="G23" s="54"/>
    </row>
    <row r="24" spans="1:7" s="3" customFormat="1" ht="15.75" x14ac:dyDescent="0.25">
      <c r="A24" s="259" t="s">
        <v>317</v>
      </c>
      <c r="B24" s="255">
        <f>VLOOKUP(A5,мкд!W:X,2,FALSE)</f>
        <v>648502.88</v>
      </c>
      <c r="C24" s="9"/>
      <c r="D24" s="10"/>
      <c r="F24" s="3" t="s">
        <v>443</v>
      </c>
    </row>
    <row r="25" spans="1:7" s="3" customFormat="1" ht="15.75" x14ac:dyDescent="0.25">
      <c r="A25" s="124" t="s">
        <v>318</v>
      </c>
      <c r="B25" s="14">
        <f>VLOOKUP(A5,мкд!W:Y,3,FALSE)</f>
        <v>642366.4</v>
      </c>
      <c r="C25" s="9"/>
      <c r="D25" s="10"/>
      <c r="E25" s="3">
        <f>E16*E23*B15+F16*F23*B15</f>
        <v>648500.50800000015</v>
      </c>
    </row>
    <row r="26" spans="1:7" s="3" customFormat="1" ht="15.75" hidden="1" x14ac:dyDescent="0.25">
      <c r="A26" s="124" t="s">
        <v>319</v>
      </c>
      <c r="B26" s="14"/>
      <c r="C26" s="9"/>
      <c r="D26" s="10"/>
    </row>
    <row r="27" spans="1:7" s="3" customFormat="1" ht="15.75" hidden="1" x14ac:dyDescent="0.25">
      <c r="A27" s="124" t="s">
        <v>248</v>
      </c>
      <c r="B27" s="14">
        <f>B26</f>
        <v>0</v>
      </c>
      <c r="C27" s="9"/>
      <c r="D27" s="10"/>
    </row>
    <row r="28" spans="1:7" s="3" customFormat="1" ht="15.75" x14ac:dyDescent="0.25">
      <c r="A28" s="124" t="s">
        <v>391</v>
      </c>
      <c r="B28" s="14">
        <f>12135.87+9000</f>
        <v>21135.870000000003</v>
      </c>
      <c r="C28" s="9"/>
      <c r="D28" s="10"/>
    </row>
    <row r="29" spans="1:7" s="3" customFormat="1" ht="15.75" hidden="1" x14ac:dyDescent="0.25">
      <c r="A29" s="124" t="s">
        <v>250</v>
      </c>
      <c r="B29" s="11"/>
      <c r="C29" s="9"/>
      <c r="D29" s="10"/>
    </row>
    <row r="30" spans="1:7" ht="15.75" x14ac:dyDescent="0.25">
      <c r="A30" s="125"/>
      <c r="B30" s="11"/>
      <c r="C30" s="9"/>
      <c r="D30" s="10"/>
      <c r="E30" s="54"/>
      <c r="F30" s="54"/>
      <c r="G30" s="54"/>
    </row>
    <row r="31" spans="1:7" ht="15.75" x14ac:dyDescent="0.25">
      <c r="A31" s="232" t="s">
        <v>251</v>
      </c>
      <c r="B31" s="11"/>
      <c r="C31" s="9"/>
      <c r="D31" s="10"/>
      <c r="E31" s="54"/>
      <c r="F31" s="54"/>
      <c r="G31" s="54"/>
    </row>
    <row r="32" spans="1:7" s="68" customFormat="1" ht="31.5" x14ac:dyDescent="0.25">
      <c r="A32" s="126" t="s">
        <v>252</v>
      </c>
      <c r="B32" s="121">
        <f>SUM(B33:B41)</f>
        <v>92821.9</v>
      </c>
      <c r="C32" s="9"/>
      <c r="D32" s="10"/>
      <c r="E32" s="67">
        <f>(B86-B24-B26)/1.2/1.03</f>
        <v>577453.80261966563</v>
      </c>
      <c r="F32" s="67" t="e">
        <f>(#REF!-#REF!-#REF!)/1.2/1.03</f>
        <v>#REF!</v>
      </c>
      <c r="G32" s="67" t="e">
        <f>(#REF!-#REF!-#REF!)/1.2/1.03</f>
        <v>#REF!</v>
      </c>
    </row>
    <row r="33" spans="1:7" ht="15.75" x14ac:dyDescent="0.25">
      <c r="A33" s="127" t="s">
        <v>253</v>
      </c>
      <c r="B33" s="11">
        <v>92821.9</v>
      </c>
      <c r="C33" s="9"/>
      <c r="D33" s="10">
        <v>45928.05</v>
      </c>
      <c r="E33" s="54"/>
      <c r="F33" s="54"/>
      <c r="G33" s="54"/>
    </row>
    <row r="34" spans="1:7" ht="15.75" hidden="1" x14ac:dyDescent="0.25">
      <c r="A34" s="127" t="s">
        <v>320</v>
      </c>
      <c r="B34" s="11">
        <v>0</v>
      </c>
      <c r="C34" s="9"/>
      <c r="D34" s="10">
        <v>0</v>
      </c>
      <c r="E34" s="54"/>
      <c r="F34" s="54"/>
      <c r="G34" s="54"/>
    </row>
    <row r="35" spans="1:7" ht="15.75" hidden="1" x14ac:dyDescent="0.25">
      <c r="A35" s="127" t="s">
        <v>256</v>
      </c>
      <c r="B35" s="11">
        <v>0</v>
      </c>
      <c r="C35" s="9"/>
      <c r="D35" s="10">
        <v>0</v>
      </c>
      <c r="E35" s="54"/>
      <c r="F35" s="54"/>
      <c r="G35" s="54"/>
    </row>
    <row r="36" spans="1:7" ht="15.75" hidden="1" x14ac:dyDescent="0.25">
      <c r="A36" s="127" t="s">
        <v>255</v>
      </c>
      <c r="B36" s="11"/>
      <c r="C36" s="9" t="s">
        <v>234</v>
      </c>
      <c r="D36" s="10">
        <v>0</v>
      </c>
      <c r="E36" s="54"/>
      <c r="F36" s="54"/>
      <c r="G36" s="54"/>
    </row>
    <row r="37" spans="1:7" ht="15.75" hidden="1" x14ac:dyDescent="0.25">
      <c r="A37" s="127" t="s">
        <v>257</v>
      </c>
      <c r="B37" s="11">
        <v>0</v>
      </c>
      <c r="C37" s="9"/>
      <c r="D37" s="10">
        <v>0</v>
      </c>
      <c r="E37" s="54"/>
      <c r="F37" s="54"/>
      <c r="G37" s="54"/>
    </row>
    <row r="38" spans="1:7" ht="15.75" hidden="1" x14ac:dyDescent="0.25">
      <c r="A38" s="127" t="s">
        <v>258</v>
      </c>
      <c r="B38" s="11">
        <v>0</v>
      </c>
      <c r="C38" s="9"/>
      <c r="D38" s="10">
        <v>0</v>
      </c>
      <c r="E38" s="54"/>
      <c r="F38" s="54"/>
      <c r="G38" s="54"/>
    </row>
    <row r="39" spans="1:7" ht="15.75" hidden="1" x14ac:dyDescent="0.25">
      <c r="A39" s="19" t="s">
        <v>259</v>
      </c>
      <c r="B39" s="11">
        <v>0</v>
      </c>
      <c r="C39" s="9"/>
      <c r="D39" s="10">
        <v>0</v>
      </c>
      <c r="E39" s="54"/>
      <c r="F39" s="54"/>
      <c r="G39" s="54"/>
    </row>
    <row r="40" spans="1:7" ht="15.75" hidden="1" x14ac:dyDescent="0.25">
      <c r="A40" s="19" t="s">
        <v>444</v>
      </c>
      <c r="B40" s="11">
        <v>0</v>
      </c>
      <c r="C40" s="9"/>
      <c r="D40" s="10"/>
      <c r="E40" s="54"/>
      <c r="F40" s="54"/>
      <c r="G40" s="54"/>
    </row>
    <row r="41" spans="1:7" ht="15.75" hidden="1" x14ac:dyDescent="0.25">
      <c r="A41" s="19" t="s">
        <v>445</v>
      </c>
      <c r="B41" s="11">
        <v>0</v>
      </c>
      <c r="C41" s="9"/>
      <c r="D41" s="10"/>
      <c r="E41" s="54"/>
      <c r="F41" s="54"/>
      <c r="G41" s="54"/>
    </row>
    <row r="42" spans="1:7" s="68" customFormat="1" ht="47.25" x14ac:dyDescent="0.25">
      <c r="A42" s="126" t="s">
        <v>261</v>
      </c>
      <c r="B42" s="121">
        <f>SUM(B43:B45)</f>
        <v>34070.614237018781</v>
      </c>
      <c r="C42" s="9"/>
      <c r="D42" s="10"/>
      <c r="E42" s="67"/>
      <c r="F42" s="67"/>
      <c r="G42" s="67"/>
    </row>
    <row r="43" spans="1:7" ht="15.75" hidden="1" x14ac:dyDescent="0.25">
      <c r="A43" s="19" t="s">
        <v>262</v>
      </c>
      <c r="B43" s="11"/>
      <c r="C43" s="23"/>
      <c r="D43" s="24"/>
      <c r="E43" s="54"/>
      <c r="F43" s="54"/>
      <c r="G43" s="54"/>
    </row>
    <row r="44" spans="1:7" ht="15.75" hidden="1" x14ac:dyDescent="0.25">
      <c r="A44" s="19" t="s">
        <v>263</v>
      </c>
      <c r="B44" s="11"/>
      <c r="C44" s="23"/>
      <c r="D44" s="24"/>
      <c r="E44" s="54"/>
      <c r="F44" s="54"/>
      <c r="G44" s="54"/>
    </row>
    <row r="45" spans="1:7" ht="15.75" x14ac:dyDescent="0.25">
      <c r="A45" s="129" t="s">
        <v>264</v>
      </c>
      <c r="B45" s="11">
        <f>'[4]32тарифы'!D163*B15*1.0952+1205.08*1.12</f>
        <v>34070.614237018781</v>
      </c>
      <c r="C45" s="23"/>
      <c r="D45" s="24"/>
      <c r="E45" s="54"/>
      <c r="F45" s="54"/>
      <c r="G45" s="54"/>
    </row>
    <row r="46" spans="1:7" s="55" customFormat="1" ht="15.75" x14ac:dyDescent="0.25">
      <c r="A46" s="126" t="s">
        <v>265</v>
      </c>
      <c r="B46" s="121">
        <f>SUM(B47:B65)</f>
        <v>289070.61</v>
      </c>
      <c r="C46" s="9"/>
      <c r="D46" s="10"/>
    </row>
    <row r="47" spans="1:7" ht="15.75" x14ac:dyDescent="0.25">
      <c r="A47" s="127" t="s">
        <v>324</v>
      </c>
      <c r="B47" s="11">
        <v>3280.2</v>
      </c>
      <c r="C47" s="9"/>
      <c r="D47" s="10"/>
      <c r="E47" s="54" t="s">
        <v>267</v>
      </c>
      <c r="F47" s="54"/>
      <c r="G47" s="54"/>
    </row>
    <row r="48" spans="1:7" ht="15.75" x14ac:dyDescent="0.25">
      <c r="A48" s="127" t="s">
        <v>315</v>
      </c>
      <c r="B48" s="11">
        <v>3983.1</v>
      </c>
      <c r="C48" s="9"/>
      <c r="D48" s="10"/>
      <c r="E48" s="54" t="s">
        <v>269</v>
      </c>
      <c r="F48" s="54"/>
      <c r="G48" s="54"/>
    </row>
    <row r="49" spans="1:5" ht="15.75" x14ac:dyDescent="0.25">
      <c r="A49" s="95" t="s">
        <v>270</v>
      </c>
      <c r="B49" s="11">
        <v>151594.20000000001</v>
      </c>
      <c r="C49" s="9">
        <v>3</v>
      </c>
      <c r="D49" s="10">
        <f>4210.95*3</f>
        <v>12632.849999999999</v>
      </c>
      <c r="E49" s="54">
        <f>D49*12</f>
        <v>151594.19999999998</v>
      </c>
    </row>
    <row r="50" spans="1:5" ht="15.75" x14ac:dyDescent="0.25">
      <c r="A50" s="95" t="s">
        <v>446</v>
      </c>
      <c r="B50" s="8">
        <v>14700</v>
      </c>
      <c r="C50" s="122">
        <v>3</v>
      </c>
      <c r="D50" s="10">
        <v>4190</v>
      </c>
      <c r="E50" s="54"/>
    </row>
    <row r="51" spans="1:5" ht="15.75" x14ac:dyDescent="0.25">
      <c r="A51" s="95" t="s">
        <v>281</v>
      </c>
      <c r="B51" s="11">
        <v>327.38</v>
      </c>
      <c r="C51" s="9">
        <v>3</v>
      </c>
      <c r="D51" s="10">
        <v>13973</v>
      </c>
      <c r="E51" s="54"/>
    </row>
    <row r="52" spans="1:5" ht="15.75" x14ac:dyDescent="0.25">
      <c r="A52" s="95" t="s">
        <v>387</v>
      </c>
      <c r="B52" s="11">
        <v>21600</v>
      </c>
      <c r="C52" s="9">
        <v>3</v>
      </c>
      <c r="D52" s="10">
        <v>105.14</v>
      </c>
      <c r="E52" s="54"/>
    </row>
    <row r="53" spans="1:5" ht="15.75" x14ac:dyDescent="0.25">
      <c r="A53" s="95" t="s">
        <v>274</v>
      </c>
      <c r="B53" s="8">
        <v>46200</v>
      </c>
      <c r="C53" s="122">
        <v>0</v>
      </c>
      <c r="D53" s="10">
        <v>522.99</v>
      </c>
      <c r="E53" s="54"/>
    </row>
    <row r="54" spans="1:5" ht="15.75" x14ac:dyDescent="0.25">
      <c r="A54" s="111" t="s">
        <v>353</v>
      </c>
      <c r="B54" s="8">
        <v>8133.61</v>
      </c>
      <c r="C54" s="122">
        <v>1</v>
      </c>
      <c r="D54" s="28">
        <v>695.13</v>
      </c>
      <c r="E54" s="54"/>
    </row>
    <row r="55" spans="1:5" s="3" customFormat="1" ht="15.75" x14ac:dyDescent="0.25">
      <c r="A55" s="95" t="s">
        <v>519</v>
      </c>
      <c r="B55" s="11">
        <v>5000</v>
      </c>
      <c r="C55" s="9"/>
      <c r="D55" s="28"/>
    </row>
    <row r="56" spans="1:5" ht="15.75" x14ac:dyDescent="0.25">
      <c r="A56" s="95" t="s">
        <v>395</v>
      </c>
      <c r="B56" s="11">
        <f>VLOOKUP(A5,'[2]МКД 33'!$AI:$FO,137,FALSE)</f>
        <v>8751.2400000000016</v>
      </c>
      <c r="C56" s="9">
        <v>0</v>
      </c>
      <c r="D56" s="10">
        <f>10695.76/1.18</f>
        <v>9064.203389830509</v>
      </c>
      <c r="E56" s="54"/>
    </row>
    <row r="57" spans="1:5" ht="15.75" hidden="1" x14ac:dyDescent="0.25">
      <c r="A57" s="95" t="s">
        <v>342</v>
      </c>
      <c r="B57" s="11"/>
      <c r="C57" s="9">
        <v>0</v>
      </c>
      <c r="D57" s="10">
        <f>2300/1.18</f>
        <v>1949.1525423728815</v>
      </c>
      <c r="E57" s="54"/>
    </row>
    <row r="58" spans="1:5" ht="15.75" hidden="1" x14ac:dyDescent="0.25">
      <c r="A58" s="131" t="s">
        <v>373</v>
      </c>
      <c r="B58" s="8"/>
      <c r="C58" s="122">
        <v>0</v>
      </c>
      <c r="D58" s="10">
        <v>0</v>
      </c>
      <c r="E58" s="54"/>
    </row>
    <row r="59" spans="1:5" ht="15.75" hidden="1" x14ac:dyDescent="0.25">
      <c r="A59" s="131" t="s">
        <v>278</v>
      </c>
      <c r="B59" s="8">
        <f>B13*'[4]32тарифы'!D184</f>
        <v>0</v>
      </c>
      <c r="C59" s="122"/>
      <c r="D59" s="10"/>
      <c r="E59" s="54"/>
    </row>
    <row r="60" spans="1:5" ht="15.75" hidden="1" x14ac:dyDescent="0.25">
      <c r="A60" s="19" t="s">
        <v>279</v>
      </c>
      <c r="B60" s="8">
        <v>0</v>
      </c>
      <c r="C60" s="122"/>
      <c r="D60" s="10"/>
      <c r="E60" s="54"/>
    </row>
    <row r="61" spans="1:5" ht="15.75" hidden="1" x14ac:dyDescent="0.25">
      <c r="A61" s="19" t="s">
        <v>280</v>
      </c>
      <c r="B61" s="8">
        <v>0</v>
      </c>
      <c r="C61" s="122"/>
      <c r="D61" s="10">
        <v>0</v>
      </c>
      <c r="E61" s="157">
        <f>B80+B46+1422.49-B59</f>
        <v>315900.50999999995</v>
      </c>
    </row>
    <row r="62" spans="1:5" ht="15.75" hidden="1" x14ac:dyDescent="0.25">
      <c r="A62" s="127" t="s">
        <v>336</v>
      </c>
      <c r="B62" s="11">
        <v>0</v>
      </c>
      <c r="C62" s="9"/>
      <c r="D62" s="10">
        <v>0</v>
      </c>
      <c r="E62" s="54"/>
    </row>
    <row r="63" spans="1:5" ht="15.75" x14ac:dyDescent="0.25">
      <c r="A63" s="127" t="s">
        <v>325</v>
      </c>
      <c r="B63" s="132">
        <v>21300.880000000001</v>
      </c>
      <c r="C63" s="30">
        <v>1</v>
      </c>
      <c r="D63" s="10">
        <v>0</v>
      </c>
      <c r="E63" s="54"/>
    </row>
    <row r="64" spans="1:5" ht="15.75" hidden="1" x14ac:dyDescent="0.25">
      <c r="A64" s="19" t="s">
        <v>283</v>
      </c>
      <c r="B64" s="132">
        <v>0</v>
      </c>
      <c r="C64" s="30">
        <v>108</v>
      </c>
      <c r="D64" s="10">
        <v>2</v>
      </c>
      <c r="E64" s="54">
        <v>0</v>
      </c>
    </row>
    <row r="65" spans="1:4" ht="15.75" x14ac:dyDescent="0.25">
      <c r="A65" s="19" t="s">
        <v>520</v>
      </c>
      <c r="B65" s="132">
        <v>4200</v>
      </c>
      <c r="C65" s="32"/>
      <c r="D65" s="24">
        <v>0</v>
      </c>
    </row>
    <row r="66" spans="1:4" s="55" customFormat="1" ht="15.75" x14ac:dyDescent="0.25">
      <c r="A66" s="133" t="s">
        <v>285</v>
      </c>
      <c r="B66" s="121">
        <f>SUM(B67:B74)</f>
        <v>292815.93753784336</v>
      </c>
      <c r="C66" s="23"/>
      <c r="D66" s="24"/>
    </row>
    <row r="67" spans="1:4" ht="15.75" hidden="1" x14ac:dyDescent="0.25">
      <c r="A67" s="19" t="s">
        <v>286</v>
      </c>
      <c r="B67" s="8">
        <v>0</v>
      </c>
      <c r="C67" s="134"/>
      <c r="D67" s="24"/>
    </row>
    <row r="68" spans="1:4" ht="15.75" x14ac:dyDescent="0.25">
      <c r="A68" s="127" t="s">
        <v>287</v>
      </c>
      <c r="B68" s="135">
        <f>42*B16</f>
        <v>105785.4</v>
      </c>
      <c r="C68" s="23"/>
      <c r="D68" s="24"/>
    </row>
    <row r="69" spans="1:4" ht="15.75" hidden="1" x14ac:dyDescent="0.25">
      <c r="A69" s="19" t="s">
        <v>288</v>
      </c>
      <c r="B69" s="8">
        <v>0</v>
      </c>
      <c r="C69" s="134"/>
      <c r="D69" s="24"/>
    </row>
    <row r="70" spans="1:4" ht="15.75" x14ac:dyDescent="0.25">
      <c r="A70" s="129" t="s">
        <v>289</v>
      </c>
      <c r="B70" s="11">
        <f>1.35*B15</f>
        <v>7602.255000000001</v>
      </c>
      <c r="C70" s="23"/>
      <c r="D70" s="24"/>
    </row>
    <row r="71" spans="1:4" ht="15.75" x14ac:dyDescent="0.25">
      <c r="A71" s="129" t="s">
        <v>290</v>
      </c>
      <c r="B71" s="11">
        <f>5.06*B15</f>
        <v>28494.377999999997</v>
      </c>
      <c r="C71" s="23"/>
      <c r="D71" s="24"/>
    </row>
    <row r="72" spans="1:4" s="3" customFormat="1" ht="15.75" x14ac:dyDescent="0.25">
      <c r="A72" s="129" t="s">
        <v>291</v>
      </c>
      <c r="B72" s="11">
        <f>17.68*B15</f>
        <v>99561.384000000005</v>
      </c>
      <c r="C72" s="23"/>
      <c r="D72" s="24"/>
    </row>
    <row r="73" spans="1:4" s="3" customFormat="1" ht="15.75" x14ac:dyDescent="0.25">
      <c r="A73" s="129" t="s">
        <v>292</v>
      </c>
      <c r="B73" s="11">
        <f>9760*1.04*1.12*1.09</f>
        <v>12391.608320000001</v>
      </c>
      <c r="C73" s="23"/>
      <c r="D73" s="24"/>
    </row>
    <row r="74" spans="1:4" ht="15.75" x14ac:dyDescent="0.25">
      <c r="A74" s="129" t="s">
        <v>293</v>
      </c>
      <c r="B74" s="11">
        <f>('[4]32тарифы'!D167*B15)+('[4]32тарифы'!D187*B15)*1.12*1.09</f>
        <v>38980.912217843332</v>
      </c>
      <c r="C74" s="23"/>
      <c r="D74" s="24"/>
    </row>
    <row r="75" spans="1:4" ht="41.25" x14ac:dyDescent="0.25">
      <c r="A75" s="136" t="s">
        <v>447</v>
      </c>
      <c r="B75" s="121">
        <f>SUM(B76:B76)</f>
        <v>208756.80000000005</v>
      </c>
      <c r="C75" s="23"/>
      <c r="D75" s="24"/>
    </row>
    <row r="76" spans="1:4" ht="15.75" x14ac:dyDescent="0.25">
      <c r="A76" s="129" t="s">
        <v>295</v>
      </c>
      <c r="B76" s="11">
        <f>171000*1.12*1.09</f>
        <v>208756.80000000005</v>
      </c>
      <c r="C76" s="23"/>
      <c r="D76" s="24"/>
    </row>
    <row r="77" spans="1:4" s="55" customFormat="1" ht="15.75" x14ac:dyDescent="0.25">
      <c r="A77" s="133" t="s">
        <v>296</v>
      </c>
      <c r="B77" s="121">
        <f>SUM(B78:B81)</f>
        <v>184596.64634642165</v>
      </c>
      <c r="C77" s="23"/>
      <c r="D77" s="24"/>
    </row>
    <row r="78" spans="1:4" ht="15.75" x14ac:dyDescent="0.25">
      <c r="A78" s="137" t="s">
        <v>297</v>
      </c>
      <c r="B78" s="11">
        <f>'[4]32тарифы'!D170*B15*1.12*1.09</f>
        <v>148136.80462295483</v>
      </c>
      <c r="C78" s="23"/>
      <c r="D78" s="24"/>
    </row>
    <row r="79" spans="1:4" s="3" customFormat="1" ht="15.75" hidden="1" x14ac:dyDescent="0.25">
      <c r="A79" s="137" t="s">
        <v>298</v>
      </c>
      <c r="B79" s="135">
        <f>(B26/1.2)*30%</f>
        <v>0</v>
      </c>
      <c r="C79" s="23"/>
      <c r="D79" s="24"/>
    </row>
    <row r="80" spans="1:4" ht="15.75" x14ac:dyDescent="0.25">
      <c r="A80" s="247" t="s">
        <v>448</v>
      </c>
      <c r="B80" s="11">
        <f>14423.27+10984.14</f>
        <v>25407.41</v>
      </c>
      <c r="C80" s="23"/>
      <c r="D80" s="24"/>
    </row>
    <row r="81" spans="1:4" ht="15.75" x14ac:dyDescent="0.25">
      <c r="A81" s="247" t="s">
        <v>449</v>
      </c>
      <c r="B81" s="11">
        <f>'[4]32тарифы'!D173*B13</f>
        <v>11052.431723466818</v>
      </c>
      <c r="C81" s="23"/>
      <c r="D81" s="24"/>
    </row>
    <row r="82" spans="1:4" ht="15.75" x14ac:dyDescent="0.25">
      <c r="A82" s="233" t="s">
        <v>301</v>
      </c>
      <c r="B82" s="14">
        <f>B32+B42+B46+B66+B75+B77</f>
        <v>1102132.5081212837</v>
      </c>
      <c r="C82" s="23"/>
      <c r="D82" s="24"/>
    </row>
    <row r="83" spans="1:4" ht="15.75" x14ac:dyDescent="0.25">
      <c r="A83" s="139" t="s">
        <v>302</v>
      </c>
      <c r="B83" s="11">
        <f>B82*0.03</f>
        <v>33063.97524363851</v>
      </c>
      <c r="C83" s="23"/>
      <c r="D83" s="24"/>
    </row>
    <row r="84" spans="1:4" s="68" customFormat="1" ht="15.75" x14ac:dyDescent="0.25">
      <c r="A84" s="140" t="s">
        <v>303</v>
      </c>
      <c r="B84" s="121">
        <f>B82+B83</f>
        <v>1135196.4833649222</v>
      </c>
      <c r="C84" s="23"/>
      <c r="D84" s="24"/>
    </row>
    <row r="85" spans="1:4" s="3" customFormat="1" ht="16.5" thickBot="1" x14ac:dyDescent="0.3">
      <c r="A85" s="141" t="s">
        <v>304</v>
      </c>
      <c r="B85" s="142">
        <f>B84*0.2</f>
        <v>227039.29667298446</v>
      </c>
      <c r="C85" s="23"/>
      <c r="D85" s="24"/>
    </row>
    <row r="86" spans="1:4" s="55" customFormat="1" ht="16.5" thickBot="1" x14ac:dyDescent="0.3">
      <c r="A86" s="38" t="s">
        <v>305</v>
      </c>
      <c r="B86" s="46">
        <f>B84+B85</f>
        <v>1362235.7800379067</v>
      </c>
      <c r="C86" s="40"/>
      <c r="D86" s="41"/>
    </row>
    <row r="87" spans="1:4" s="4" customFormat="1" ht="16.5" thickBot="1" x14ac:dyDescent="0.3">
      <c r="A87" s="42" t="s">
        <v>306</v>
      </c>
      <c r="B87" s="46">
        <f>B10+B24+B26+B28+B29-B86</f>
        <v>-1436643.2500379067</v>
      </c>
      <c r="C87" s="43"/>
      <c r="D87" s="43"/>
    </row>
    <row r="88" spans="1:4" s="4" customFormat="1" ht="16.5" hidden="1" thickBot="1" x14ac:dyDescent="0.3">
      <c r="A88" s="44" t="s">
        <v>307</v>
      </c>
      <c r="B88" s="46"/>
      <c r="C88" s="43"/>
      <c r="D88" s="43"/>
    </row>
    <row r="89" spans="1:4" s="4" customFormat="1" ht="16.5" hidden="1" thickBot="1" x14ac:dyDescent="0.3">
      <c r="A89" s="143" t="s">
        <v>308</v>
      </c>
      <c r="B89" s="46"/>
      <c r="C89" s="43"/>
      <c r="D89" s="43"/>
    </row>
    <row r="90" spans="1:4" ht="15.75" x14ac:dyDescent="0.25">
      <c r="A90" s="54"/>
      <c r="B90" s="130"/>
      <c r="C90" s="54"/>
      <c r="D90" s="54"/>
    </row>
    <row r="91" spans="1:4" ht="15.75" x14ac:dyDescent="0.25">
      <c r="A91" s="49"/>
      <c r="B91" s="3"/>
      <c r="C91" s="54"/>
      <c r="D91" s="54"/>
    </row>
    <row r="92" spans="1:4" ht="15.75" x14ac:dyDescent="0.25">
      <c r="A92" s="286" t="s">
        <v>542</v>
      </c>
      <c r="B92" s="286"/>
      <c r="C92" s="54"/>
      <c r="D92" s="54"/>
    </row>
    <row r="93" spans="1:4" ht="15.75" x14ac:dyDescent="0.25">
      <c r="A93" s="49"/>
      <c r="B93" s="3"/>
      <c r="C93" s="54"/>
      <c r="D93" s="54"/>
    </row>
    <row r="94" spans="1:4" ht="15.75" hidden="1" x14ac:dyDescent="0.25">
      <c r="A94" s="287" t="s">
        <v>399</v>
      </c>
      <c r="B94" s="287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0D000000}">
    <filterColumn colId="1">
      <filters>
        <filter val="1 102 132,51"/>
        <filter val="1 135 196,48"/>
        <filter val="1 362 235,78"/>
        <filter val="-1 436 643,25"/>
        <filter val="105 785,40"/>
        <filter val="11 052,43"/>
        <filter val="12 391,61"/>
        <filter val="14 700,00"/>
        <filter val="148 136,80"/>
        <filter val="151 594,20"/>
        <filter val="184 596,65"/>
        <filter val="208 756,80"/>
        <filter val="21 300,88"/>
        <filter val="21 600,00"/>
        <filter val="227 039,30"/>
        <filter val="25 407,41"/>
        <filter val="28 494,38"/>
        <filter val="289 070,61"/>
        <filter val="292 815,94"/>
        <filter val="3 280,20"/>
        <filter val="3 983,10"/>
        <filter val="327,38"/>
        <filter val="33 063,98"/>
        <filter val="34 070,61"/>
        <filter val="38 980,91"/>
        <filter val="4 200,00"/>
        <filter val="46 200,00"/>
        <filter val="5 000,00"/>
        <filter val="7 602,26"/>
        <filter val="8 133,61"/>
        <filter val="8 751,24"/>
        <filter val="92 821,90"/>
        <filter val="99 561,38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>
    <pageSetUpPr fitToPage="1"/>
  </sheetPr>
  <dimension ref="A1:G95"/>
  <sheetViews>
    <sheetView view="pageBreakPreview" topLeftCell="A70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98.28515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57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-697119.92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2530.6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243.6</v>
      </c>
      <c r="C14" s="60"/>
      <c r="D14" s="59"/>
    </row>
    <row r="15" spans="1:4" ht="15.75" hidden="1" x14ac:dyDescent="0.25">
      <c r="A15" s="58" t="s">
        <v>237</v>
      </c>
      <c r="B15" s="11">
        <f>B13+B14</f>
        <v>2774.2</v>
      </c>
      <c r="C15" s="61"/>
      <c r="D15" s="62"/>
    </row>
    <row r="16" spans="1:4" ht="16.5" hidden="1" thickBot="1" x14ac:dyDescent="0.3">
      <c r="A16" s="58" t="s">
        <v>238</v>
      </c>
      <c r="B16" s="11">
        <f>1221.1+1553.1/3</f>
        <v>1738.7999999999997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682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1092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1575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107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/>
      <c r="F23" s="54"/>
      <c r="G23" s="54"/>
    </row>
    <row r="24" spans="1:7" ht="15.75" x14ac:dyDescent="0.25">
      <c r="A24" s="258" t="s">
        <v>317</v>
      </c>
      <c r="B24" s="255">
        <f>VLOOKUP(A5,мкд!W:X,2,FALSE)</f>
        <v>379457.52</v>
      </c>
      <c r="C24" s="59"/>
      <c r="D24" s="62"/>
      <c r="E24" s="54">
        <v>12.5</v>
      </c>
      <c r="F24" s="54"/>
      <c r="G24" s="54"/>
    </row>
    <row r="25" spans="1:7" ht="16.5" thickBot="1" x14ac:dyDescent="0.3">
      <c r="A25" s="64" t="s">
        <v>318</v>
      </c>
      <c r="B25" s="14">
        <f>VLOOKUP(A5,мкд!W:Y,3,FALSE)</f>
        <v>343815.06</v>
      </c>
      <c r="C25" s="63"/>
      <c r="D25" s="62"/>
      <c r="E25" s="54"/>
      <c r="F25" s="54"/>
      <c r="G25" s="54"/>
    </row>
    <row r="26" spans="1:7" ht="15.75" x14ac:dyDescent="0.25">
      <c r="A26" s="64" t="s">
        <v>348</v>
      </c>
      <c r="B26" s="14">
        <v>36540</v>
      </c>
      <c r="C26" s="57"/>
      <c r="D26" s="59"/>
      <c r="E26" s="54"/>
      <c r="F26" s="54"/>
      <c r="G26" s="54"/>
    </row>
    <row r="27" spans="1:7" ht="16.5" thickBot="1" x14ac:dyDescent="0.3">
      <c r="A27" s="64" t="s">
        <v>349</v>
      </c>
      <c r="B27" s="14">
        <v>16443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5781.36</v>
      </c>
      <c r="C28" s="56"/>
      <c r="D28" s="62"/>
      <c r="E28" s="54"/>
      <c r="F28" s="54"/>
      <c r="G28" s="54"/>
    </row>
    <row r="29" spans="1:7" ht="16.5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49729.430000000008</v>
      </c>
      <c r="C32" s="59"/>
      <c r="D32" s="62"/>
      <c r="E32" s="67">
        <f>(B86-B26-B24)/1.2/1.03</f>
        <v>282101.06930069573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v>44178.41</v>
      </c>
      <c r="C33" s="63"/>
      <c r="D33" s="62">
        <v>17119.189999999999</v>
      </c>
      <c r="E33" s="54"/>
      <c r="F33" s="54"/>
      <c r="G33" s="54"/>
    </row>
    <row r="34" spans="1:7" ht="15.75" hidden="1" x14ac:dyDescent="0.25">
      <c r="A34" s="69" t="s">
        <v>320</v>
      </c>
      <c r="B34" s="11">
        <v>0</v>
      </c>
      <c r="C34" s="57"/>
      <c r="D34" s="59">
        <v>0</v>
      </c>
      <c r="E34" s="54"/>
      <c r="F34" s="54"/>
      <c r="G34" s="54"/>
    </row>
    <row r="35" spans="1:7" ht="15.75" hidden="1" x14ac:dyDescent="0.25">
      <c r="A35" s="69" t="s">
        <v>256</v>
      </c>
      <c r="B35" s="11"/>
      <c r="C35" s="62"/>
      <c r="D35" s="59">
        <v>0</v>
      </c>
      <c r="E35" s="54"/>
      <c r="F35" s="54"/>
      <c r="G35" s="54"/>
    </row>
    <row r="36" spans="1:7" ht="15.75" hidden="1" x14ac:dyDescent="0.25">
      <c r="A36" s="69" t="s">
        <v>255</v>
      </c>
      <c r="B36" s="11"/>
      <c r="C36" s="62" t="s">
        <v>234</v>
      </c>
      <c r="D36" s="59">
        <v>0</v>
      </c>
      <c r="E36" s="54"/>
      <c r="F36" s="54"/>
      <c r="G36" s="54"/>
    </row>
    <row r="37" spans="1:7" ht="16.5" thickBot="1" x14ac:dyDescent="0.3">
      <c r="A37" s="69" t="s">
        <v>257</v>
      </c>
      <c r="B37" s="11">
        <v>5551.02</v>
      </c>
      <c r="C37" s="62"/>
      <c r="D37" s="59">
        <v>0</v>
      </c>
      <c r="E37" s="54"/>
      <c r="F37" s="54"/>
      <c r="G37" s="54"/>
    </row>
    <row r="38" spans="1:7" ht="16.5" hidden="1" thickBot="1" x14ac:dyDescent="0.3">
      <c r="A38" s="69" t="s">
        <v>258</v>
      </c>
      <c r="B38" s="11">
        <v>0</v>
      </c>
      <c r="C38" s="62"/>
      <c r="D38" s="59">
        <v>0</v>
      </c>
      <c r="E38" s="54"/>
      <c r="F38" s="54"/>
      <c r="G38" s="54"/>
    </row>
    <row r="39" spans="1:7" ht="16.5" hidden="1" thickBot="1" x14ac:dyDescent="0.3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6.5" hidden="1" thickBot="1" x14ac:dyDescent="0.3">
      <c r="A40" s="69" t="s">
        <v>310</v>
      </c>
      <c r="B40" s="11">
        <v>0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339</v>
      </c>
      <c r="B41" s="11"/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127426.83520927983</v>
      </c>
      <c r="C42" s="56"/>
      <c r="D42" s="62"/>
      <c r="E42" s="67"/>
      <c r="F42" s="67"/>
      <c r="G42" s="67"/>
    </row>
    <row r="43" spans="1:7" ht="15.75" x14ac:dyDescent="0.25">
      <c r="A43" s="69" t="s">
        <v>262</v>
      </c>
      <c r="B43" s="11">
        <v>839.31</v>
      </c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110291.39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'[1]34тарифы'!D163*B15*1.0952+176.52</f>
        <v>16296.13520927983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43668</v>
      </c>
      <c r="C46" s="56"/>
      <c r="D46" s="62"/>
    </row>
    <row r="47" spans="1:7" ht="15.75" x14ac:dyDescent="0.25">
      <c r="A47" s="69" t="s">
        <v>324</v>
      </c>
      <c r="B47" s="11">
        <v>2864.4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1">
        <v>3478.2</v>
      </c>
      <c r="C48" s="62"/>
      <c r="D48" s="59"/>
      <c r="E48" s="54" t="s">
        <v>269</v>
      </c>
      <c r="F48" s="54"/>
      <c r="G48" s="54"/>
    </row>
    <row r="49" spans="1:5" ht="16.5" thickBot="1" x14ac:dyDescent="0.3">
      <c r="A49" s="75" t="s">
        <v>520</v>
      </c>
      <c r="B49" s="11">
        <v>4200</v>
      </c>
      <c r="C49" s="62"/>
      <c r="D49" s="59"/>
      <c r="E49" s="54"/>
    </row>
    <row r="50" spans="1:5" ht="16.5" hidden="1" thickBot="1" x14ac:dyDescent="0.3">
      <c r="A50" s="75" t="s">
        <v>353</v>
      </c>
      <c r="B50" s="11"/>
      <c r="C50" s="62"/>
      <c r="D50" s="59">
        <v>4190</v>
      </c>
      <c r="E50" s="54"/>
    </row>
    <row r="51" spans="1:5" ht="16.5" hidden="1" thickBot="1" x14ac:dyDescent="0.3">
      <c r="A51" s="75" t="s">
        <v>473</v>
      </c>
      <c r="B51" s="11">
        <v>0</v>
      </c>
      <c r="C51" s="62"/>
      <c r="D51" s="59"/>
      <c r="E51" s="54"/>
    </row>
    <row r="52" spans="1:5" ht="16.5" hidden="1" thickBot="1" x14ac:dyDescent="0.3">
      <c r="A52" s="75" t="s">
        <v>346</v>
      </c>
      <c r="B52" s="11"/>
      <c r="C52" s="62"/>
      <c r="D52" s="59">
        <v>105.14</v>
      </c>
      <c r="E52" s="54"/>
    </row>
    <row r="53" spans="1:5" ht="16.5" hidden="1" thickBot="1" x14ac:dyDescent="0.3">
      <c r="A53" s="75" t="s">
        <v>282</v>
      </c>
      <c r="B53" s="11"/>
      <c r="C53" s="62">
        <v>0</v>
      </c>
      <c r="D53" s="59">
        <v>522.99</v>
      </c>
      <c r="E53" s="54"/>
    </row>
    <row r="54" spans="1:5" ht="16.5" hidden="1" thickBot="1" x14ac:dyDescent="0.3">
      <c r="A54" s="75" t="s">
        <v>344</v>
      </c>
      <c r="B54" s="11"/>
      <c r="C54" s="62">
        <v>1</v>
      </c>
      <c r="D54" s="76">
        <v>700.55</v>
      </c>
      <c r="E54" s="54"/>
    </row>
    <row r="55" spans="1:5" ht="16.5" hidden="1" thickBot="1" x14ac:dyDescent="0.3">
      <c r="A55" s="75" t="s">
        <v>276</v>
      </c>
      <c r="B55" s="11">
        <v>0</v>
      </c>
      <c r="C55" s="62"/>
      <c r="D55" s="76"/>
      <c r="E55" s="54"/>
    </row>
    <row r="56" spans="1:5" ht="16.5" hidden="1" thickBot="1" x14ac:dyDescent="0.3">
      <c r="A56" s="75" t="s">
        <v>277</v>
      </c>
      <c r="B56" s="11">
        <v>0</v>
      </c>
      <c r="C56" s="62">
        <v>0</v>
      </c>
      <c r="D56" s="59">
        <f>10695.76/1.18</f>
        <v>9064.203389830509</v>
      </c>
      <c r="E56" s="54"/>
    </row>
    <row r="57" spans="1:5" ht="16.5" hidden="1" thickBot="1" x14ac:dyDescent="0.3">
      <c r="A57" s="75" t="s">
        <v>312</v>
      </c>
      <c r="B57" s="11">
        <v>0</v>
      </c>
      <c r="C57" s="62">
        <v>0</v>
      </c>
      <c r="D57" s="59">
        <f>2300/1.18</f>
        <v>1949.1525423728815</v>
      </c>
      <c r="E57" s="54"/>
    </row>
    <row r="58" spans="1:5" ht="16.5" hidden="1" thickBot="1" x14ac:dyDescent="0.3">
      <c r="A58" s="75" t="s">
        <v>373</v>
      </c>
      <c r="B58" s="11"/>
      <c r="C58" s="60">
        <v>0</v>
      </c>
      <c r="D58" s="59">
        <v>0</v>
      </c>
      <c r="E58" s="54"/>
    </row>
    <row r="59" spans="1:5" ht="18" customHeight="1" thickBot="1" x14ac:dyDescent="0.3">
      <c r="A59" s="75" t="s">
        <v>405</v>
      </c>
      <c r="B59" s="11">
        <v>2875</v>
      </c>
      <c r="C59" s="56"/>
      <c r="D59" s="62"/>
      <c r="E59" s="54"/>
    </row>
    <row r="60" spans="1:5" ht="18" customHeight="1" x14ac:dyDescent="0.25">
      <c r="A60" s="69" t="s">
        <v>522</v>
      </c>
      <c r="B60" s="11">
        <v>11245.08</v>
      </c>
      <c r="C60" s="57"/>
      <c r="D60" s="59"/>
      <c r="E60" s="54"/>
    </row>
    <row r="61" spans="1:5" ht="18.75" customHeight="1" x14ac:dyDescent="0.25">
      <c r="A61" s="69" t="s">
        <v>353</v>
      </c>
      <c r="B61" s="11">
        <v>8133.61</v>
      </c>
      <c r="C61" s="62"/>
      <c r="D61" s="59">
        <v>0</v>
      </c>
      <c r="E61" s="54"/>
    </row>
    <row r="62" spans="1:5" ht="16.5" thickBot="1" x14ac:dyDescent="0.3">
      <c r="A62" s="69" t="s">
        <v>281</v>
      </c>
      <c r="B62" s="11">
        <f>109.14+275.5</f>
        <v>384.64</v>
      </c>
      <c r="C62" s="62"/>
      <c r="D62" s="59">
        <v>0</v>
      </c>
      <c r="E62" s="54"/>
    </row>
    <row r="63" spans="1:5" ht="16.5" hidden="1" thickBot="1" x14ac:dyDescent="0.3">
      <c r="A63" s="69" t="s">
        <v>487</v>
      </c>
      <c r="B63" s="132"/>
      <c r="C63" s="78">
        <v>1</v>
      </c>
      <c r="D63" s="59">
        <v>0</v>
      </c>
      <c r="E63" s="54"/>
    </row>
    <row r="64" spans="1:5" ht="16.5" thickBot="1" x14ac:dyDescent="0.3">
      <c r="A64" s="69" t="s">
        <v>283</v>
      </c>
      <c r="B64" s="132">
        <f>VLOOKUP(A5,'[2]МКД 33'!$AI:$FO,137,FALSE)</f>
        <v>10487.07</v>
      </c>
      <c r="C64" s="79">
        <v>33</v>
      </c>
      <c r="D64" s="62">
        <v>2</v>
      </c>
      <c r="E64" s="54">
        <v>1</v>
      </c>
    </row>
    <row r="65" spans="1:4" s="55" customFormat="1" ht="16.5" hidden="1" thickBot="1" x14ac:dyDescent="0.3">
      <c r="A65" s="69" t="s">
        <v>284</v>
      </c>
      <c r="B65" s="132">
        <v>0</v>
      </c>
      <c r="C65" s="80">
        <v>33</v>
      </c>
      <c r="D65" s="73">
        <f>650/1.18</f>
        <v>550.84745762711873</v>
      </c>
    </row>
    <row r="66" spans="1:4" s="55" customFormat="1" ht="16.5" thickBot="1" x14ac:dyDescent="0.3">
      <c r="A66" s="175" t="s">
        <v>285</v>
      </c>
      <c r="B66" s="121">
        <f>SUM(B67:B74)</f>
        <v>205115.26194407037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63357*1.04*1.1194*1.09</f>
        <v>80396.981726879996</v>
      </c>
      <c r="C68" s="56"/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3745.17</v>
      </c>
      <c r="C70" s="60"/>
      <c r="D70" s="73"/>
    </row>
    <row r="71" spans="1:4" ht="15.75" x14ac:dyDescent="0.25">
      <c r="A71" s="74" t="s">
        <v>290</v>
      </c>
      <c r="B71" s="11">
        <f>5.06*B15</f>
        <v>14037.451999999997</v>
      </c>
      <c r="C71" s="81">
        <f>B71/B15</f>
        <v>5.0599999999999996</v>
      </c>
      <c r="D71" s="60"/>
    </row>
    <row r="72" spans="1:4" ht="15.75" x14ac:dyDescent="0.25">
      <c r="A72" s="74" t="s">
        <v>291</v>
      </c>
      <c r="B72" s="11">
        <f>17.68*B15</f>
        <v>49047.855999999992</v>
      </c>
      <c r="C72" s="73">
        <f>B72/B15</f>
        <v>17.68</v>
      </c>
      <c r="D72" s="60"/>
    </row>
    <row r="73" spans="1:4" ht="15.75" x14ac:dyDescent="0.25">
      <c r="A73" s="25" t="s">
        <v>292</v>
      </c>
      <c r="B73" s="11">
        <f>4807*1.04*1.1194*1.0952</f>
        <v>6128.9517038463991</v>
      </c>
      <c r="C73" s="73">
        <f>B73/B16</f>
        <v>3.5248169449312168</v>
      </c>
      <c r="D73" s="60"/>
    </row>
    <row r="74" spans="1:4" ht="15.75" x14ac:dyDescent="0.25">
      <c r="A74" s="74" t="s">
        <v>293</v>
      </c>
      <c r="B74" s="11">
        <f>40595*1.04*1.1194*1.0952</f>
        <v>51758.850513343998</v>
      </c>
      <c r="C74" s="73">
        <f>B74/B16</f>
        <v>29.766994774179896</v>
      </c>
      <c r="D74" s="60"/>
    </row>
    <row r="75" spans="1:4" ht="47.25" x14ac:dyDescent="0.25">
      <c r="A75" s="213" t="s">
        <v>326</v>
      </c>
      <c r="B75" s="121">
        <f>SUM(B76:B76)</f>
        <v>94270.578610110169</v>
      </c>
      <c r="C75" s="73"/>
      <c r="D75" s="60"/>
    </row>
    <row r="76" spans="1:4" ht="15.75" x14ac:dyDescent="0.25">
      <c r="A76" s="74" t="s">
        <v>295</v>
      </c>
      <c r="B76" s="11">
        <f>'[1]34ОЭР'!D72*1.1194*1.0952</f>
        <v>94270.578610110169</v>
      </c>
      <c r="C76" s="73">
        <f>B76/B15</f>
        <v>33.981176054397729</v>
      </c>
      <c r="D76" s="60"/>
    </row>
    <row r="77" spans="1:4" s="55" customFormat="1" ht="15.75" x14ac:dyDescent="0.25">
      <c r="A77" s="175" t="s">
        <v>296</v>
      </c>
      <c r="B77" s="121">
        <f>SUM(B78:B81)</f>
        <v>98458.536352769443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'[1]34тарифы'!D170*B15*1.1194*1.0952</f>
        <v>73286.890029839778</v>
      </c>
      <c r="C78" s="63"/>
      <c r="D78" s="60"/>
    </row>
    <row r="79" spans="1:4" ht="16.5" thickBot="1" x14ac:dyDescent="0.3">
      <c r="A79" s="35" t="s">
        <v>298</v>
      </c>
      <c r="B79" s="11">
        <f>(B26/1.2)*30%</f>
        <v>9135</v>
      </c>
      <c r="C79" s="65"/>
      <c r="D79" s="73"/>
    </row>
    <row r="80" spans="1:4" ht="15.75" x14ac:dyDescent="0.25">
      <c r="A80" s="83" t="s">
        <v>328</v>
      </c>
      <c r="B80" s="11">
        <f>5810.77+4136.8</f>
        <v>9947.57</v>
      </c>
      <c r="C80" s="81"/>
      <c r="D80" s="60"/>
    </row>
    <row r="81" spans="1:4" ht="15.75" x14ac:dyDescent="0.25">
      <c r="A81" s="83" t="s">
        <v>329</v>
      </c>
      <c r="B81" s="11">
        <f>'[1]34тарифы'!D173*B13*1.1194*1.0952</f>
        <v>6089.076322929679</v>
      </c>
      <c r="C81" s="73"/>
      <c r="D81" s="60"/>
    </row>
    <row r="82" spans="1:4" ht="15.75" x14ac:dyDescent="0.25">
      <c r="A82" s="214" t="s">
        <v>301</v>
      </c>
      <c r="B82" s="14">
        <f>B32+B42+B46+B66+B75+B77</f>
        <v>618668.64211622975</v>
      </c>
      <c r="C82" s="73"/>
      <c r="D82" s="60"/>
    </row>
    <row r="83" spans="1:4" ht="15.75" x14ac:dyDescent="0.25">
      <c r="A83" s="215" t="s">
        <v>302</v>
      </c>
      <c r="B83" s="11">
        <f>B82*0.03</f>
        <v>18560.059263486892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637228.70137971663</v>
      </c>
      <c r="C84" s="73"/>
      <c r="D84" s="60"/>
    </row>
    <row r="85" spans="1:4" ht="16.5" thickBot="1" x14ac:dyDescent="0.3">
      <c r="A85" s="217" t="s">
        <v>304</v>
      </c>
      <c r="B85" s="142">
        <f>B84*0.2</f>
        <v>127445.74027594333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764674.44165565993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-1040015.48165566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0E000000}">
    <filterColumn colId="1">
      <filters>
        <filter val="-1 040 015,48"/>
        <filter val="10 487,07"/>
        <filter val="11 245,08"/>
        <filter val="110 291,39"/>
        <filter val="127 426,84"/>
        <filter val="127 445,74"/>
        <filter val="14 037,45"/>
        <filter val="16 296,14"/>
        <filter val="18 560,06"/>
        <filter val="2 864,40"/>
        <filter val="2 875,00"/>
        <filter val="205 115,26"/>
        <filter val="3 478,20"/>
        <filter val="3 745,17"/>
        <filter val="384,64"/>
        <filter val="4 200,00"/>
        <filter val="43 668,00"/>
        <filter val="44 178,41"/>
        <filter val="49 047,86"/>
        <filter val="49 729,43"/>
        <filter val="5 551,02"/>
        <filter val="51 758,85"/>
        <filter val="6 089,08"/>
        <filter val="6 128,95"/>
        <filter val="618 668,64"/>
        <filter val="637 228,70"/>
        <filter val="73 286,89"/>
        <filter val="764 674,44"/>
        <filter val="8 133,61"/>
        <filter val="80 396,98"/>
        <filter val="839,31"/>
        <filter val="9 135,00"/>
        <filter val="9 947,57"/>
        <filter val="94 270,58"/>
        <filter val="98 458,54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>
    <pageSetUpPr fitToPage="1"/>
  </sheetPr>
  <dimension ref="A1:G95"/>
  <sheetViews>
    <sheetView view="pageBreakPreview" topLeftCell="A70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32</v>
      </c>
      <c r="B5" s="246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653423.11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8">
        <v>2944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8">
        <v>0</v>
      </c>
      <c r="C14" s="60"/>
      <c r="D14" s="59"/>
    </row>
    <row r="15" spans="1:4" ht="15.75" hidden="1" x14ac:dyDescent="0.25">
      <c r="A15" s="58" t="s">
        <v>237</v>
      </c>
      <c r="B15" s="8">
        <f>B13+B14</f>
        <v>2944</v>
      </c>
      <c r="C15" s="61"/>
      <c r="D15" s="62"/>
    </row>
    <row r="16" spans="1:4" ht="16.5" hidden="1" thickBot="1" x14ac:dyDescent="0.3">
      <c r="A16" s="58" t="s">
        <v>238</v>
      </c>
      <c r="B16" s="8">
        <f>1068.1+2192/3</f>
        <v>1798.7666666666664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8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8">
        <v>406.2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8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8">
        <v>1018.4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8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8">
        <v>262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723919.44</v>
      </c>
      <c r="C24" s="59"/>
      <c r="D24" s="62"/>
      <c r="E24" s="194">
        <v>20.239999999999998</v>
      </c>
      <c r="F24" s="195">
        <v>21.74</v>
      </c>
      <c r="G24" s="54"/>
    </row>
    <row r="25" spans="1:7" ht="16.5" thickBot="1" x14ac:dyDescent="0.3">
      <c r="A25" s="64" t="s">
        <v>318</v>
      </c>
      <c r="B25" s="14">
        <f>VLOOKUP(A5,мкд!W:Y,3,FALSE)</f>
        <v>676589.91</v>
      </c>
      <c r="C25" s="63"/>
      <c r="D25" s="62"/>
      <c r="E25" s="54">
        <f>E23*E24*B15+F23*F24*B15</f>
        <v>723870.71999999997</v>
      </c>
      <c r="F25" s="54"/>
      <c r="G25" s="54"/>
    </row>
    <row r="26" spans="1:7" ht="15.75" hidden="1" x14ac:dyDescent="0.25">
      <c r="A26" s="64" t="s">
        <v>319</v>
      </c>
      <c r="B26" s="13"/>
      <c r="C26" s="57"/>
      <c r="D26" s="59"/>
      <c r="E26" s="54"/>
      <c r="F26" s="54"/>
      <c r="G26" s="54"/>
    </row>
    <row r="27" spans="1:7" ht="16.5" hidden="1" thickBot="1" x14ac:dyDescent="0.3">
      <c r="A27" s="64" t="s">
        <v>248</v>
      </c>
      <c r="B27" s="13">
        <f>B26</f>
        <v>0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7154.31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3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47712.639999999999</v>
      </c>
      <c r="C32" s="59"/>
      <c r="D32" s="62"/>
      <c r="E32" s="67">
        <f>(B86-B26-B24)/1.2/1.03</f>
        <v>211907.83363592045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f>35000*1.12*1.0952</f>
        <v>42931.840000000004</v>
      </c>
      <c r="C33" s="63"/>
      <c r="D33" s="62">
        <v>28672.2</v>
      </c>
      <c r="E33" s="54"/>
      <c r="F33" s="54"/>
      <c r="G33" s="54"/>
    </row>
    <row r="34" spans="1:7" ht="15.75" hidden="1" x14ac:dyDescent="0.25">
      <c r="A34" s="69" t="s">
        <v>320</v>
      </c>
      <c r="B34" s="8">
        <v>0</v>
      </c>
      <c r="C34" s="57"/>
      <c r="D34" s="59">
        <v>0</v>
      </c>
      <c r="E34" s="54"/>
      <c r="F34" s="54"/>
      <c r="G34" s="54"/>
    </row>
    <row r="35" spans="1:7" ht="15.75" hidden="1" x14ac:dyDescent="0.25">
      <c r="A35" s="69" t="s">
        <v>256</v>
      </c>
      <c r="B35" s="8"/>
      <c r="C35" s="62"/>
      <c r="D35" s="59">
        <v>0</v>
      </c>
      <c r="E35" s="54"/>
      <c r="F35" s="54"/>
      <c r="G35" s="54"/>
    </row>
    <row r="36" spans="1:7" ht="15.75" x14ac:dyDescent="0.25">
      <c r="A36" s="69" t="s">
        <v>255</v>
      </c>
      <c r="B36" s="8">
        <v>4202.24</v>
      </c>
      <c r="C36" s="62" t="s">
        <v>234</v>
      </c>
      <c r="D36" s="59">
        <v>0</v>
      </c>
      <c r="E36" s="54"/>
      <c r="F36" s="54"/>
      <c r="G36" s="54"/>
    </row>
    <row r="37" spans="1:7" ht="15.75" hidden="1" x14ac:dyDescent="0.25">
      <c r="A37" s="19" t="s">
        <v>338</v>
      </c>
      <c r="B37" s="11"/>
      <c r="C37" s="62"/>
      <c r="D37" s="59">
        <v>0</v>
      </c>
      <c r="E37" s="54"/>
      <c r="F37" s="54"/>
      <c r="G37" s="54"/>
    </row>
    <row r="38" spans="1:7" ht="15.75" hidden="1" x14ac:dyDescent="0.25">
      <c r="A38" s="69" t="s">
        <v>339</v>
      </c>
      <c r="B38" s="11">
        <v>0</v>
      </c>
      <c r="C38" s="62"/>
      <c r="D38" s="59">
        <v>0</v>
      </c>
      <c r="E38" s="54"/>
      <c r="F38" s="54"/>
      <c r="G38" s="54"/>
    </row>
    <row r="39" spans="1:7" ht="15.75" hidden="1" x14ac:dyDescent="0.25">
      <c r="A39" s="69" t="s">
        <v>322</v>
      </c>
      <c r="B39" s="8">
        <v>0</v>
      </c>
      <c r="C39" s="62"/>
      <c r="D39" s="59">
        <v>0</v>
      </c>
      <c r="E39" s="54"/>
      <c r="F39" s="54"/>
      <c r="G39" s="54"/>
    </row>
    <row r="40" spans="1:7" ht="16.5" thickBot="1" x14ac:dyDescent="0.3">
      <c r="A40" s="69" t="s">
        <v>310</v>
      </c>
      <c r="B40" s="11">
        <v>578.55999999999995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339</v>
      </c>
      <c r="B41" s="8"/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120904.03582802965</v>
      </c>
      <c r="C42" s="56"/>
      <c r="D42" s="62"/>
      <c r="E42" s="67"/>
      <c r="F42" s="67"/>
      <c r="G42" s="67"/>
    </row>
    <row r="43" spans="1:7" ht="15.75" x14ac:dyDescent="0.25">
      <c r="A43" s="69" t="s">
        <v>262</v>
      </c>
      <c r="B43" s="11">
        <v>21320.17</v>
      </c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81185.850000000006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[3]тарифы!D163*B15*1.0952+1291.77</f>
        <v>18398.015828029638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185871.94999999998</v>
      </c>
      <c r="C46" s="56"/>
      <c r="D46" s="62"/>
    </row>
    <row r="47" spans="1:7" ht="15.75" x14ac:dyDescent="0.25">
      <c r="A47" s="69" t="s">
        <v>324</v>
      </c>
      <c r="B47" s="11">
        <v>1706.04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1">
        <v>2071.62</v>
      </c>
      <c r="C48" s="62"/>
      <c r="D48" s="59"/>
      <c r="E48" s="54" t="s">
        <v>269</v>
      </c>
      <c r="F48" s="54"/>
      <c r="G48" s="54"/>
    </row>
    <row r="49" spans="1:4" ht="15.75" hidden="1" x14ac:dyDescent="0.25">
      <c r="A49" s="75" t="s">
        <v>270</v>
      </c>
      <c r="B49" s="8">
        <v>0</v>
      </c>
      <c r="C49" s="62"/>
      <c r="D49" s="59"/>
    </row>
    <row r="50" spans="1:4" ht="15.75" hidden="1" x14ac:dyDescent="0.25">
      <c r="A50" s="75" t="s">
        <v>271</v>
      </c>
      <c r="B50" s="8">
        <v>0</v>
      </c>
      <c r="C50" s="62"/>
      <c r="D50" s="59">
        <v>4190</v>
      </c>
    </row>
    <row r="51" spans="1:4" ht="15.75" x14ac:dyDescent="0.25">
      <c r="A51" s="75" t="s">
        <v>314</v>
      </c>
      <c r="B51" s="8">
        <f>VLOOKUP(A5,'[2]МКД 33'!$AI:$FO,137,FALSE)</f>
        <v>12316.560000000001</v>
      </c>
      <c r="C51" s="62"/>
      <c r="D51" s="59"/>
    </row>
    <row r="52" spans="1:4" ht="15.75" hidden="1" x14ac:dyDescent="0.25">
      <c r="A52" s="75" t="s">
        <v>273</v>
      </c>
      <c r="B52" s="8">
        <f>B21*[3]тарифы!D177</f>
        <v>0</v>
      </c>
      <c r="C52" s="62"/>
      <c r="D52" s="59">
        <v>105.14</v>
      </c>
    </row>
    <row r="53" spans="1:4" ht="15" customHeight="1" x14ac:dyDescent="0.25">
      <c r="A53" s="75" t="s">
        <v>520</v>
      </c>
      <c r="B53" s="8">
        <v>4200</v>
      </c>
      <c r="C53" s="62">
        <v>0</v>
      </c>
      <c r="D53" s="59">
        <v>522.99</v>
      </c>
    </row>
    <row r="54" spans="1:4" ht="15.75" x14ac:dyDescent="0.25">
      <c r="A54" s="95" t="s">
        <v>523</v>
      </c>
      <c r="B54" s="8">
        <v>21800.68</v>
      </c>
      <c r="C54" s="62">
        <v>1</v>
      </c>
      <c r="D54" s="76">
        <v>657.53</v>
      </c>
    </row>
    <row r="55" spans="1:4" ht="15.75" x14ac:dyDescent="0.25">
      <c r="A55" s="75" t="s">
        <v>341</v>
      </c>
      <c r="B55" s="8">
        <f>840+1768.35+11035.97</f>
        <v>13644.32</v>
      </c>
      <c r="C55" s="62"/>
      <c r="D55" s="76"/>
    </row>
    <row r="56" spans="1:4" ht="15.75" hidden="1" x14ac:dyDescent="0.25">
      <c r="A56" s="75" t="s">
        <v>277</v>
      </c>
      <c r="B56" s="8">
        <v>0</v>
      </c>
      <c r="C56" s="62">
        <v>0</v>
      </c>
      <c r="D56" s="59">
        <f>10695.76/1.18</f>
        <v>9064.203389830509</v>
      </c>
    </row>
    <row r="57" spans="1:4" ht="15.75" hidden="1" x14ac:dyDescent="0.25">
      <c r="A57" s="75" t="s">
        <v>312</v>
      </c>
      <c r="B57" s="11">
        <v>0</v>
      </c>
      <c r="C57" s="62">
        <v>0</v>
      </c>
      <c r="D57" s="59">
        <f>2300/1.18</f>
        <v>1949.1525423728815</v>
      </c>
    </row>
    <row r="58" spans="1:4" ht="15.75" hidden="1" x14ac:dyDescent="0.25">
      <c r="A58" s="75" t="s">
        <v>313</v>
      </c>
      <c r="B58" s="8">
        <v>0</v>
      </c>
      <c r="C58" s="60">
        <v>0</v>
      </c>
      <c r="D58" s="59">
        <v>0</v>
      </c>
    </row>
    <row r="59" spans="1:4" ht="16.5" hidden="1" thickBot="1" x14ac:dyDescent="0.3">
      <c r="A59" s="75" t="s">
        <v>278</v>
      </c>
      <c r="B59" s="8">
        <v>0</v>
      </c>
      <c r="C59" s="56"/>
      <c r="D59" s="62"/>
    </row>
    <row r="60" spans="1:4" ht="15.75" hidden="1" x14ac:dyDescent="0.25">
      <c r="A60" s="69" t="s">
        <v>279</v>
      </c>
      <c r="B60" s="8">
        <v>0</v>
      </c>
      <c r="C60" s="57"/>
      <c r="D60" s="59"/>
    </row>
    <row r="61" spans="1:4" ht="15.75" hidden="1" x14ac:dyDescent="0.25">
      <c r="A61" s="69" t="s">
        <v>280</v>
      </c>
      <c r="B61" s="8">
        <v>0</v>
      </c>
      <c r="C61" s="62"/>
      <c r="D61" s="59">
        <v>0</v>
      </c>
    </row>
    <row r="62" spans="1:4" ht="15.75" hidden="1" x14ac:dyDescent="0.25">
      <c r="A62" s="69" t="s">
        <v>342</v>
      </c>
      <c r="B62" s="11"/>
      <c r="C62" s="62"/>
      <c r="D62" s="59">
        <v>0</v>
      </c>
    </row>
    <row r="63" spans="1:4" ht="16.5" thickBot="1" x14ac:dyDescent="0.3">
      <c r="A63" s="69" t="s">
        <v>337</v>
      </c>
      <c r="B63" s="132">
        <f>79439.12+42560</f>
        <v>121999.12</v>
      </c>
      <c r="C63" s="78">
        <v>1</v>
      </c>
      <c r="D63" s="59">
        <v>0</v>
      </c>
    </row>
    <row r="64" spans="1:4" ht="16.5" thickBot="1" x14ac:dyDescent="0.3">
      <c r="A64" s="69" t="s">
        <v>343</v>
      </c>
      <c r="B64" s="132">
        <v>8133.61</v>
      </c>
      <c r="C64" s="79">
        <v>188</v>
      </c>
      <c r="D64" s="62">
        <v>0.25</v>
      </c>
    </row>
    <row r="65" spans="1:4" s="55" customFormat="1" ht="16.5" hidden="1" thickBot="1" x14ac:dyDescent="0.3">
      <c r="A65" s="69" t="s">
        <v>344</v>
      </c>
      <c r="B65" s="132"/>
      <c r="C65" s="80">
        <v>158</v>
      </c>
      <c r="D65" s="73">
        <f>650/1.18</f>
        <v>550.84745762711873</v>
      </c>
    </row>
    <row r="66" spans="1:4" s="55" customFormat="1" ht="16.5" thickBot="1" x14ac:dyDescent="0.3">
      <c r="A66" s="175" t="s">
        <v>285</v>
      </c>
      <c r="B66" s="121">
        <f>SUM(B67:B74)</f>
        <v>215734.97655418882</v>
      </c>
      <c r="C66" s="56"/>
      <c r="D66" s="60"/>
    </row>
    <row r="67" spans="1:4" ht="16.5" hidden="1" thickBot="1" x14ac:dyDescent="0.3">
      <c r="A67" s="69" t="s">
        <v>286</v>
      </c>
      <c r="B67" s="8">
        <v>0</v>
      </c>
      <c r="C67" s="65"/>
      <c r="D67" s="73"/>
    </row>
    <row r="68" spans="1:4" ht="16.5" thickBot="1" x14ac:dyDescent="0.3">
      <c r="A68" s="69" t="s">
        <v>287</v>
      </c>
      <c r="B68" s="11">
        <f>65336.28*1.04*1.12*1.0952</f>
        <v>83348.771083468804</v>
      </c>
      <c r="C68" s="56">
        <f>B68/B16</f>
        <v>46.336621991069151</v>
      </c>
      <c r="D68" s="60"/>
    </row>
    <row r="69" spans="1:4" ht="15.75" hidden="1" x14ac:dyDescent="0.25">
      <c r="A69" s="69" t="s">
        <v>288</v>
      </c>
      <c r="B69" s="8">
        <v>0</v>
      </c>
      <c r="C69" s="65"/>
      <c r="D69" s="73"/>
    </row>
    <row r="70" spans="1:4" ht="16.5" thickBot="1" x14ac:dyDescent="0.3">
      <c r="A70" s="74" t="s">
        <v>289</v>
      </c>
      <c r="B70" s="11">
        <f>B15*1.35</f>
        <v>3974.4</v>
      </c>
      <c r="C70" s="60"/>
      <c r="D70" s="73"/>
    </row>
    <row r="71" spans="1:4" ht="15.75" x14ac:dyDescent="0.25">
      <c r="A71" s="74" t="s">
        <v>290</v>
      </c>
      <c r="B71" s="11">
        <f>5.06*B15</f>
        <v>14896.64</v>
      </c>
      <c r="C71" s="81"/>
      <c r="D71" s="60"/>
    </row>
    <row r="72" spans="1:4" ht="15.75" x14ac:dyDescent="0.25">
      <c r="A72" s="74" t="s">
        <v>291</v>
      </c>
      <c r="B72" s="11">
        <f>17.68*B15</f>
        <v>52049.919999999998</v>
      </c>
      <c r="C72" s="73"/>
      <c r="D72" s="60"/>
    </row>
    <row r="73" spans="1:4" ht="15.75" x14ac:dyDescent="0.25">
      <c r="A73" s="25" t="s">
        <v>292</v>
      </c>
      <c r="B73" s="11">
        <f>5102*1.04*1.12*1.0952</f>
        <v>6508.56507392</v>
      </c>
      <c r="C73" s="73"/>
      <c r="D73" s="60"/>
    </row>
    <row r="74" spans="1:4" ht="15.75" x14ac:dyDescent="0.25">
      <c r="A74" s="74" t="s">
        <v>293</v>
      </c>
      <c r="B74" s="11">
        <f>43080*1.04*1.12*1.0952</f>
        <v>54956.680396800009</v>
      </c>
      <c r="C74" s="73"/>
      <c r="D74" s="60"/>
    </row>
    <row r="75" spans="1:4" ht="47.25" x14ac:dyDescent="0.25">
      <c r="A75" s="213" t="s">
        <v>326</v>
      </c>
      <c r="B75" s="121">
        <f>SUM(B76:B76)</f>
        <v>109729.44807143348</v>
      </c>
      <c r="C75" s="73"/>
      <c r="D75" s="60"/>
    </row>
    <row r="76" spans="1:4" ht="15.75" x14ac:dyDescent="0.25">
      <c r="A76" s="74" t="s">
        <v>295</v>
      </c>
      <c r="B76" s="11">
        <f>[3]ОЭР!D40*1.12*1.0952</f>
        <v>109729.44807143348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117650.12298809367</v>
      </c>
      <c r="C77" s="73"/>
      <c r="D77" s="60"/>
    </row>
    <row r="78" spans="1:4" ht="32.25" thickBot="1" x14ac:dyDescent="0.3">
      <c r="A78" s="82" t="s">
        <v>327</v>
      </c>
      <c r="B78" s="11">
        <f>[3]тарифы!D170*B15*1.12*1.0952</f>
        <v>77814.23476898353</v>
      </c>
      <c r="C78" s="63"/>
      <c r="D78" s="60"/>
    </row>
    <row r="79" spans="1:4" ht="16.5" hidden="1" thickBot="1" x14ac:dyDescent="0.3">
      <c r="A79" s="35" t="s">
        <v>298</v>
      </c>
      <c r="B79" s="8">
        <f>(B26/1.2)*30%</f>
        <v>0</v>
      </c>
      <c r="C79" s="65"/>
      <c r="D79" s="73"/>
    </row>
    <row r="80" spans="1:4" ht="15.75" x14ac:dyDescent="0.25">
      <c r="A80" s="83" t="s">
        <v>328</v>
      </c>
      <c r="B80" s="11">
        <f>15561.94+17918.01</f>
        <v>33479.949999999997</v>
      </c>
      <c r="C80" s="81"/>
      <c r="D80" s="60"/>
    </row>
    <row r="81" spans="1:4" ht="15.75" x14ac:dyDescent="0.25">
      <c r="A81" s="83" t="s">
        <v>329</v>
      </c>
      <c r="B81" s="11">
        <f>[3]тарифы!D173*B13*1.1</f>
        <v>6355.9382191101431</v>
      </c>
      <c r="C81" s="73"/>
      <c r="D81" s="60"/>
    </row>
    <row r="82" spans="1:4" ht="15.75" x14ac:dyDescent="0.25">
      <c r="A82" s="214" t="s">
        <v>301</v>
      </c>
      <c r="B82" s="14">
        <f>B32+B42+B46+B66+B75+B77</f>
        <v>797603.17344174557</v>
      </c>
      <c r="C82" s="73"/>
      <c r="D82" s="60"/>
    </row>
    <row r="83" spans="1:4" ht="15.75" x14ac:dyDescent="0.25">
      <c r="A83" s="215" t="s">
        <v>302</v>
      </c>
      <c r="B83" s="11">
        <f>B82*0.03</f>
        <v>23928.095203252367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821531.26864499797</v>
      </c>
      <c r="C84" s="73"/>
      <c r="D84" s="60"/>
    </row>
    <row r="85" spans="1:4" ht="16.5" thickBot="1" x14ac:dyDescent="0.3">
      <c r="A85" s="217" t="s">
        <v>304</v>
      </c>
      <c r="B85" s="142">
        <f>B84*0.2</f>
        <v>164306.25372899961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985837.52237399761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398659.33762600226</v>
      </c>
      <c r="C87" s="85"/>
      <c r="D87" s="86"/>
    </row>
    <row r="88" spans="1:4" s="55" customFormat="1" ht="16.5" hidden="1" thickBot="1" x14ac:dyDescent="0.3">
      <c r="A88" s="87" t="s">
        <v>307</v>
      </c>
      <c r="B88" s="39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0F000000}">
    <filterColumn colId="1">
      <filters>
        <filter val="1 706,04"/>
        <filter val="109 729,45"/>
        <filter val="117 650,12"/>
        <filter val="12 316,56"/>
        <filter val="120 904,04"/>
        <filter val="121 999,12"/>
        <filter val="13 644,32"/>
        <filter val="14 896,64"/>
        <filter val="164 306,25"/>
        <filter val="18 398,02"/>
        <filter val="185 871,95"/>
        <filter val="2 071,62"/>
        <filter val="21 320,17"/>
        <filter val="21 800,68"/>
        <filter val="215 734,98"/>
        <filter val="23 928,10"/>
        <filter val="3 974,40"/>
        <filter val="33 479,95"/>
        <filter val="398 659,34"/>
        <filter val="4 200,00"/>
        <filter val="4 202,24"/>
        <filter val="42 931,84"/>
        <filter val="47 712,64"/>
        <filter val="52 049,92"/>
        <filter val="54 956,68"/>
        <filter val="578,56"/>
        <filter val="6 355,94"/>
        <filter val="6 508,57"/>
        <filter val="77 814,23"/>
        <filter val="797 603,17"/>
        <filter val="8 133,61"/>
        <filter val="81 185,85"/>
        <filter val="821 531,27"/>
        <filter val="83 348,77"/>
        <filter val="985 837,52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filterMode="1">
    <pageSetUpPr fitToPage="1"/>
  </sheetPr>
  <dimension ref="A1:G95"/>
  <sheetViews>
    <sheetView view="pageBreakPreview" topLeftCell="A70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69"/>
      <c r="C1" s="54"/>
      <c r="D1" s="54"/>
    </row>
    <row r="2" spans="1:4" ht="16.5" x14ac:dyDescent="0.25">
      <c r="A2" s="281" t="s">
        <v>225</v>
      </c>
      <c r="B2" s="270"/>
      <c r="C2" s="54"/>
      <c r="D2" s="54"/>
    </row>
    <row r="3" spans="1:4" ht="16.5" x14ac:dyDescent="0.25">
      <c r="A3" s="281" t="s">
        <v>226</v>
      </c>
      <c r="B3" s="270"/>
      <c r="C3" s="54"/>
      <c r="D3" s="54"/>
    </row>
    <row r="4" spans="1:4" ht="15.75" x14ac:dyDescent="0.25">
      <c r="A4" s="201" t="s">
        <v>494</v>
      </c>
      <c r="B4" s="184"/>
      <c r="C4" s="54"/>
      <c r="D4" s="54"/>
    </row>
    <row r="5" spans="1:4" ht="15.75" x14ac:dyDescent="0.25">
      <c r="A5" s="201" t="s">
        <v>33</v>
      </c>
      <c r="B5" s="185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-474061.69</v>
      </c>
      <c r="C10" s="205"/>
      <c r="D10" s="206"/>
    </row>
    <row r="11" spans="1:4" ht="16.5" hidden="1" thickBot="1" x14ac:dyDescent="0.25">
      <c r="A11" s="207" t="s">
        <v>232</v>
      </c>
      <c r="B11" s="239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8">
        <v>3232.2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8">
        <v>0</v>
      </c>
      <c r="C14" s="60"/>
      <c r="D14" s="59"/>
    </row>
    <row r="15" spans="1:4" ht="15.75" hidden="1" x14ac:dyDescent="0.25">
      <c r="A15" s="58" t="s">
        <v>237</v>
      </c>
      <c r="B15" s="8">
        <f>B13+B14</f>
        <v>3232.2</v>
      </c>
      <c r="C15" s="61"/>
      <c r="D15" s="62"/>
    </row>
    <row r="16" spans="1:4" ht="16.5" hidden="1" thickBot="1" x14ac:dyDescent="0.3">
      <c r="A16" s="58" t="s">
        <v>238</v>
      </c>
      <c r="B16" s="8">
        <f>884.7+1839.9/3</f>
        <v>1498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96">
        <f>370.5+10.8</f>
        <v>381.3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96">
        <v>906.1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96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96">
        <v>1052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96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96">
        <v>171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791267.72</v>
      </c>
      <c r="C24" s="59"/>
      <c r="D24" s="62"/>
      <c r="E24" s="194">
        <v>20.149999999999999</v>
      </c>
      <c r="F24" s="195">
        <v>21.65</v>
      </c>
      <c r="G24" s="54"/>
    </row>
    <row r="25" spans="1:7" ht="16.5" thickBot="1" x14ac:dyDescent="0.3">
      <c r="A25" s="64" t="s">
        <v>318</v>
      </c>
      <c r="B25" s="14">
        <f>VLOOKUP(A5,мкд!W:Y,3,FALSE)</f>
        <v>800242.17999999993</v>
      </c>
      <c r="C25" s="63"/>
      <c r="D25" s="62"/>
      <c r="E25" s="54">
        <f>E23*E24*B15+F23*F24*B15</f>
        <v>791242.55999999994</v>
      </c>
      <c r="F25" s="54"/>
      <c r="G25" s="54"/>
    </row>
    <row r="26" spans="1:7" ht="15.75" hidden="1" x14ac:dyDescent="0.25">
      <c r="A26" s="64" t="s">
        <v>319</v>
      </c>
      <c r="B26" s="97"/>
      <c r="C26" s="57"/>
      <c r="D26" s="59"/>
      <c r="E26" s="54"/>
      <c r="F26" s="54"/>
      <c r="G26" s="54"/>
    </row>
    <row r="27" spans="1:7" ht="16.5" hidden="1" thickBot="1" x14ac:dyDescent="0.3">
      <c r="A27" s="64" t="s">
        <v>248</v>
      </c>
      <c r="B27" s="97">
        <f>B26</f>
        <v>0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7154.31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97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99680.139999999985</v>
      </c>
      <c r="C32" s="59"/>
      <c r="D32" s="62"/>
      <c r="E32" s="67">
        <f>(B86-B26-B24)/1.2/1.03</f>
        <v>108105.0309295132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v>63417.57</v>
      </c>
      <c r="C33" s="63"/>
      <c r="D33" s="62">
        <v>21557.8</v>
      </c>
      <c r="E33" s="54"/>
      <c r="F33" s="54"/>
      <c r="G33" s="54"/>
    </row>
    <row r="34" spans="1:7" ht="15.75" hidden="1" x14ac:dyDescent="0.25">
      <c r="A34" s="69" t="s">
        <v>338</v>
      </c>
      <c r="B34" s="8"/>
      <c r="C34" s="57"/>
      <c r="D34" s="59">
        <v>0</v>
      </c>
      <c r="E34" s="54"/>
      <c r="F34" s="54"/>
      <c r="G34" s="54"/>
    </row>
    <row r="35" spans="1:7" ht="15.75" x14ac:dyDescent="0.25">
      <c r="A35" s="69" t="s">
        <v>256</v>
      </c>
      <c r="B35" s="8">
        <v>16794.16</v>
      </c>
      <c r="C35" s="62"/>
      <c r="D35" s="59">
        <v>0</v>
      </c>
      <c r="E35" s="54"/>
      <c r="F35" s="54"/>
      <c r="G35" s="54"/>
    </row>
    <row r="36" spans="1:7" ht="15.75" x14ac:dyDescent="0.25">
      <c r="A36" s="172" t="s">
        <v>255</v>
      </c>
      <c r="B36" s="8">
        <v>14263.869999999999</v>
      </c>
      <c r="C36" s="62" t="s">
        <v>234</v>
      </c>
      <c r="D36" s="59">
        <v>0</v>
      </c>
      <c r="E36" s="54"/>
      <c r="F36" s="54"/>
      <c r="G36" s="54"/>
    </row>
    <row r="37" spans="1:7" ht="16.5" thickBot="1" x14ac:dyDescent="0.3">
      <c r="A37" s="91" t="s">
        <v>257</v>
      </c>
      <c r="B37" s="116">
        <v>5204.54</v>
      </c>
      <c r="C37" s="62"/>
      <c r="D37" s="59">
        <v>0</v>
      </c>
      <c r="E37" s="54"/>
      <c r="F37" s="54"/>
      <c r="G37" s="54"/>
    </row>
    <row r="38" spans="1:7" ht="16.5" hidden="1" thickBot="1" x14ac:dyDescent="0.3">
      <c r="A38" s="69" t="s">
        <v>258</v>
      </c>
      <c r="B38" s="98">
        <v>0</v>
      </c>
      <c r="C38" s="62"/>
      <c r="D38" s="59">
        <v>0</v>
      </c>
      <c r="E38" s="54"/>
      <c r="F38" s="54"/>
      <c r="G38" s="54"/>
    </row>
    <row r="39" spans="1:7" ht="16.5" hidden="1" thickBot="1" x14ac:dyDescent="0.3">
      <c r="A39" s="69" t="s">
        <v>322</v>
      </c>
      <c r="B39" s="98">
        <v>0</v>
      </c>
      <c r="C39" s="62"/>
      <c r="D39" s="59">
        <v>0</v>
      </c>
      <c r="E39" s="54"/>
      <c r="F39" s="54"/>
      <c r="G39" s="54"/>
    </row>
    <row r="40" spans="1:7" ht="16.5" hidden="1" thickBot="1" x14ac:dyDescent="0.3">
      <c r="A40" s="69" t="s">
        <v>310</v>
      </c>
      <c r="B40" s="98">
        <v>0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339</v>
      </c>
      <c r="B41" s="98">
        <v>0</v>
      </c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75104.20422899368</v>
      </c>
      <c r="C42" s="56"/>
      <c r="D42" s="62"/>
      <c r="E42" s="67"/>
      <c r="F42" s="67"/>
      <c r="G42" s="67"/>
    </row>
    <row r="43" spans="1:7" ht="15.75" x14ac:dyDescent="0.25">
      <c r="A43" s="69" t="s">
        <v>262</v>
      </c>
      <c r="B43" s="11">
        <v>21320.17</v>
      </c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34602.61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[3]тарифы!D163*B15*1.0952+357.66*1.12</f>
        <v>19181.424228993677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135734.99000000002</v>
      </c>
      <c r="C46" s="56"/>
      <c r="D46" s="62"/>
    </row>
    <row r="47" spans="1:7" ht="15.75" x14ac:dyDescent="0.25">
      <c r="A47" s="69" t="s">
        <v>324</v>
      </c>
      <c r="B47" s="11">
        <v>3805.68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98">
        <v>4621.1400000000003</v>
      </c>
      <c r="C48" s="62"/>
      <c r="D48" s="59"/>
      <c r="E48" s="54" t="s">
        <v>269</v>
      </c>
      <c r="F48" s="54"/>
      <c r="G48" s="54"/>
    </row>
    <row r="49" spans="1:4" ht="15.75" hidden="1" x14ac:dyDescent="0.25">
      <c r="A49" s="75" t="s">
        <v>270</v>
      </c>
      <c r="B49" s="96">
        <v>0</v>
      </c>
      <c r="C49" s="62"/>
      <c r="D49" s="59"/>
    </row>
    <row r="50" spans="1:4" ht="15.75" hidden="1" x14ac:dyDescent="0.25">
      <c r="A50" s="75" t="s">
        <v>271</v>
      </c>
      <c r="B50" s="96">
        <v>0</v>
      </c>
      <c r="C50" s="62"/>
      <c r="D50" s="59">
        <v>4190</v>
      </c>
    </row>
    <row r="51" spans="1:4" ht="15" customHeight="1" x14ac:dyDescent="0.25">
      <c r="A51" s="75" t="s">
        <v>520</v>
      </c>
      <c r="B51" s="96">
        <v>4200</v>
      </c>
      <c r="C51" s="62"/>
      <c r="D51" s="59"/>
    </row>
    <row r="52" spans="1:4" ht="17.25" customHeight="1" x14ac:dyDescent="0.25">
      <c r="A52" s="75" t="s">
        <v>518</v>
      </c>
      <c r="B52" s="96">
        <v>16839.419999999998</v>
      </c>
      <c r="C52" s="62"/>
      <c r="D52" s="59">
        <v>105.14</v>
      </c>
    </row>
    <row r="53" spans="1:4" ht="15.75" x14ac:dyDescent="0.25">
      <c r="A53" s="75" t="s">
        <v>274</v>
      </c>
      <c r="B53" s="8">
        <v>24000</v>
      </c>
      <c r="C53" s="62">
        <v>1</v>
      </c>
      <c r="D53" s="59">
        <v>522.99</v>
      </c>
    </row>
    <row r="54" spans="1:4" ht="15.75" x14ac:dyDescent="0.25">
      <c r="A54" s="95" t="s">
        <v>340</v>
      </c>
      <c r="B54" s="8">
        <v>8133.61</v>
      </c>
      <c r="C54" s="62">
        <v>1</v>
      </c>
      <c r="D54" s="76">
        <v>657.53</v>
      </c>
    </row>
    <row r="55" spans="1:4" ht="15" customHeight="1" x14ac:dyDescent="0.25">
      <c r="A55" s="75" t="s">
        <v>344</v>
      </c>
      <c r="B55" s="96">
        <v>5000</v>
      </c>
      <c r="C55" s="62"/>
      <c r="D55" s="76"/>
    </row>
    <row r="56" spans="1:4" ht="15.75" x14ac:dyDescent="0.25">
      <c r="A56" s="75" t="s">
        <v>519</v>
      </c>
      <c r="B56" s="96">
        <v>39000</v>
      </c>
      <c r="C56" s="62">
        <v>0</v>
      </c>
      <c r="D56" s="59">
        <f>10695.76/1.18</f>
        <v>9064.203389830509</v>
      </c>
    </row>
    <row r="57" spans="1:4" ht="15.75" hidden="1" x14ac:dyDescent="0.25">
      <c r="A57" s="75" t="s">
        <v>345</v>
      </c>
      <c r="B57" s="98">
        <v>0</v>
      </c>
      <c r="C57" s="62">
        <v>0</v>
      </c>
      <c r="D57" s="59">
        <f>2300/1.18</f>
        <v>1949.1525423728815</v>
      </c>
    </row>
    <row r="58" spans="1:4" ht="15.75" hidden="1" x14ac:dyDescent="0.25">
      <c r="A58" s="75" t="s">
        <v>346</v>
      </c>
      <c r="B58" s="96"/>
      <c r="C58" s="60">
        <v>0</v>
      </c>
      <c r="D58" s="59">
        <v>0</v>
      </c>
    </row>
    <row r="59" spans="1:4" ht="16.5" hidden="1" thickBot="1" x14ac:dyDescent="0.3">
      <c r="A59" s="75" t="s">
        <v>278</v>
      </c>
      <c r="B59" s="8"/>
      <c r="C59" s="56"/>
      <c r="D59" s="62"/>
    </row>
    <row r="60" spans="1:4" ht="15.75" hidden="1" x14ac:dyDescent="0.25">
      <c r="A60" s="69" t="s">
        <v>279</v>
      </c>
      <c r="B60" s="96">
        <v>0</v>
      </c>
      <c r="C60" s="57"/>
      <c r="D60" s="59"/>
    </row>
    <row r="61" spans="1:4" ht="15.75" hidden="1" x14ac:dyDescent="0.25">
      <c r="A61" s="69" t="s">
        <v>280</v>
      </c>
      <c r="B61" s="96">
        <v>0</v>
      </c>
      <c r="C61" s="62"/>
      <c r="D61" s="59">
        <v>0</v>
      </c>
    </row>
    <row r="62" spans="1:4" ht="15.75" customHeight="1" x14ac:dyDescent="0.25">
      <c r="A62" s="69" t="s">
        <v>356</v>
      </c>
      <c r="B62" s="98">
        <f>331.5+2501.33</f>
        <v>2832.83</v>
      </c>
      <c r="C62" s="62"/>
      <c r="D62" s="59">
        <v>0</v>
      </c>
    </row>
    <row r="63" spans="1:4" ht="16.5" thickBot="1" x14ac:dyDescent="0.3">
      <c r="A63" s="69" t="s">
        <v>282</v>
      </c>
      <c r="B63" s="132">
        <f>5396.41+16233.8</f>
        <v>21630.21</v>
      </c>
      <c r="C63" s="78">
        <v>1</v>
      </c>
      <c r="D63" s="59">
        <v>0</v>
      </c>
    </row>
    <row r="64" spans="1:4" ht="16.5" thickBot="1" x14ac:dyDescent="0.3">
      <c r="A64" s="69" t="s">
        <v>283</v>
      </c>
      <c r="B64" s="132">
        <f>VLOOKUP(A5,'[2]МКД 33'!$AI:$FO,137,FALSE)</f>
        <v>5672.1</v>
      </c>
      <c r="C64" s="79">
        <v>70</v>
      </c>
      <c r="D64" s="62">
        <v>2</v>
      </c>
    </row>
    <row r="65" spans="1:4" s="55" customFormat="1" ht="16.5" hidden="1" thickBot="1" x14ac:dyDescent="0.3">
      <c r="A65" s="69" t="s">
        <v>284</v>
      </c>
      <c r="B65" s="178">
        <v>0</v>
      </c>
      <c r="C65" s="80">
        <v>70</v>
      </c>
      <c r="D65" s="73">
        <v>560</v>
      </c>
    </row>
    <row r="66" spans="1:4" s="55" customFormat="1" ht="16.5" thickBot="1" x14ac:dyDescent="0.3">
      <c r="A66" s="175" t="s">
        <v>285</v>
      </c>
      <c r="B66" s="121">
        <f>SUM(B67:B74)</f>
        <v>214717.90067872001</v>
      </c>
      <c r="C66" s="56"/>
      <c r="D66" s="60"/>
    </row>
    <row r="67" spans="1:4" ht="16.5" hidden="1" thickBot="1" x14ac:dyDescent="0.3">
      <c r="A67" s="69" t="s">
        <v>286</v>
      </c>
      <c r="B67" s="96">
        <v>0</v>
      </c>
      <c r="C67" s="65"/>
      <c r="D67" s="73"/>
    </row>
    <row r="68" spans="1:4" ht="16.5" thickBot="1" x14ac:dyDescent="0.3">
      <c r="A68" s="69" t="s">
        <v>287</v>
      </c>
      <c r="B68" s="11">
        <f>54406*1.04*1.12*1.0952</f>
        <v>69405.133557760011</v>
      </c>
      <c r="C68" s="56">
        <f>B68/B16</f>
        <v>46.331864858317765</v>
      </c>
      <c r="D68" s="60"/>
    </row>
    <row r="69" spans="1:4" ht="15.75" hidden="1" x14ac:dyDescent="0.25">
      <c r="A69" s="69" t="s">
        <v>288</v>
      </c>
      <c r="B69" s="96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4363.47</v>
      </c>
      <c r="C70" s="60"/>
      <c r="D70" s="73"/>
    </row>
    <row r="71" spans="1:4" ht="15.75" x14ac:dyDescent="0.25">
      <c r="A71" s="74" t="s">
        <v>290</v>
      </c>
      <c r="B71" s="11">
        <f>5.06*B15</f>
        <v>16354.931999999997</v>
      </c>
      <c r="C71" s="81"/>
      <c r="D71" s="60"/>
    </row>
    <row r="72" spans="1:4" ht="15.75" x14ac:dyDescent="0.25">
      <c r="A72" s="74" t="s">
        <v>291</v>
      </c>
      <c r="B72" s="11">
        <f>17.68*B15</f>
        <v>57145.295999999995</v>
      </c>
      <c r="C72" s="73"/>
      <c r="D72" s="60"/>
    </row>
    <row r="73" spans="1:4" ht="15.75" x14ac:dyDescent="0.25">
      <c r="A73" s="25" t="s">
        <v>292</v>
      </c>
      <c r="B73" s="11">
        <f>5601*1.04*1.12*1.0952</f>
        <v>7145.1338649600002</v>
      </c>
      <c r="C73" s="73"/>
      <c r="D73" s="60"/>
    </row>
    <row r="74" spans="1:4" ht="15.75" x14ac:dyDescent="0.25">
      <c r="A74" s="74" t="s">
        <v>293</v>
      </c>
      <c r="B74" s="11">
        <f>55062.03*1.0952</f>
        <v>60303.935255999997</v>
      </c>
      <c r="C74" s="73"/>
      <c r="D74" s="60"/>
    </row>
    <row r="75" spans="1:4" ht="47.25" x14ac:dyDescent="0.25">
      <c r="A75" s="213" t="s">
        <v>326</v>
      </c>
      <c r="B75" s="121">
        <f>SUM(B76:B76)</f>
        <v>120406.769888</v>
      </c>
      <c r="C75" s="73"/>
      <c r="D75" s="60"/>
    </row>
    <row r="76" spans="1:4" ht="15.75" x14ac:dyDescent="0.25">
      <c r="A76" s="74" t="s">
        <v>295</v>
      </c>
      <c r="B76" s="11">
        <f>109940.44*1.0952</f>
        <v>120406.769888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102645.265616</v>
      </c>
      <c r="C77" s="73"/>
      <c r="D77" s="60"/>
    </row>
    <row r="78" spans="1:4" ht="32.25" thickBot="1" x14ac:dyDescent="0.3">
      <c r="A78" s="82" t="s">
        <v>327</v>
      </c>
      <c r="B78" s="11">
        <f>77963.86*1.0952</f>
        <v>85386.019472</v>
      </c>
      <c r="C78" s="63"/>
      <c r="D78" s="60"/>
    </row>
    <row r="79" spans="1:4" ht="16.5" hidden="1" thickBot="1" x14ac:dyDescent="0.3">
      <c r="A79" s="35" t="s">
        <v>298</v>
      </c>
      <c r="B79" s="8">
        <f>(B26/1.2)*30%</f>
        <v>0</v>
      </c>
      <c r="C79" s="65"/>
      <c r="D79" s="73"/>
    </row>
    <row r="80" spans="1:4" ht="15.75" x14ac:dyDescent="0.25">
      <c r="A80" s="83" t="s">
        <v>328</v>
      </c>
      <c r="B80" s="11">
        <f>9481.99</f>
        <v>9481.99</v>
      </c>
      <c r="C80" s="81"/>
      <c r="D80" s="60"/>
    </row>
    <row r="81" spans="1:4" ht="15.75" x14ac:dyDescent="0.25">
      <c r="A81" s="83" t="s">
        <v>329</v>
      </c>
      <c r="B81" s="11">
        <f>7101.22*1.0952</f>
        <v>7777.2561439999999</v>
      </c>
      <c r="C81" s="73"/>
      <c r="D81" s="60"/>
    </row>
    <row r="82" spans="1:4" ht="15.75" x14ac:dyDescent="0.25">
      <c r="A82" s="214" t="s">
        <v>301</v>
      </c>
      <c r="B82" s="14">
        <f>B32+B42+B46+B66+B75+B77</f>
        <v>748289.27041171375</v>
      </c>
      <c r="C82" s="73"/>
      <c r="D82" s="60"/>
    </row>
    <row r="83" spans="1:4" ht="15.75" x14ac:dyDescent="0.25">
      <c r="A83" s="215" t="s">
        <v>302</v>
      </c>
      <c r="B83" s="11">
        <f>B82*0.03</f>
        <v>22448.678112351412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770737.9485240652</v>
      </c>
      <c r="C84" s="73"/>
      <c r="D84" s="60"/>
    </row>
    <row r="85" spans="1:4" ht="16.5" thickBot="1" x14ac:dyDescent="0.3">
      <c r="A85" s="217" t="s">
        <v>304</v>
      </c>
      <c r="B85" s="142">
        <f>B84*0.2</f>
        <v>154147.58970481306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924885.53822887829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-600525.19822887832</v>
      </c>
      <c r="C87" s="85"/>
      <c r="D87" s="86"/>
    </row>
    <row r="88" spans="1:4" s="55" customFormat="1" ht="16.5" hidden="1" thickBot="1" x14ac:dyDescent="0.3">
      <c r="A88" s="87" t="s">
        <v>307</v>
      </c>
      <c r="B88" s="39"/>
      <c r="C88" s="88"/>
      <c r="D88" s="86"/>
    </row>
    <row r="89" spans="1:4" s="55" customFormat="1" ht="16.5" hidden="1" thickBot="1" x14ac:dyDescent="0.3">
      <c r="A89" s="89" t="s">
        <v>308</v>
      </c>
      <c r="B89" s="39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67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10000000}">
    <filterColumn colId="1">
      <filters>
        <filter val="102 645,27"/>
        <filter val="120 406,77"/>
        <filter val="135 734,99"/>
        <filter val="14 263,87"/>
        <filter val="154 147,59"/>
        <filter val="16 354,93"/>
        <filter val="16 794,16"/>
        <filter val="16 839,42"/>
        <filter val="19 181,42"/>
        <filter val="2 832,83"/>
        <filter val="21 320,17"/>
        <filter val="21 630,21"/>
        <filter val="214 717,90"/>
        <filter val="22 448,68"/>
        <filter val="24 000,00"/>
        <filter val="3 805,68"/>
        <filter val="34 602,61"/>
        <filter val="39 000,00"/>
        <filter val="4 200,00"/>
        <filter val="4 363,47"/>
        <filter val="4 621,14"/>
        <filter val="5 000,00"/>
        <filter val="5 204,54"/>
        <filter val="5 672,10"/>
        <filter val="57 145,30"/>
        <filter val="60 303,94"/>
        <filter val="-600 525,20"/>
        <filter val="63 417,57"/>
        <filter val="69 405,13"/>
        <filter val="7 145,13"/>
        <filter val="7 777,26"/>
        <filter val="748 289,27"/>
        <filter val="75 104,20"/>
        <filter val="770 737,95"/>
        <filter val="8 133,61"/>
        <filter val="85 386,02"/>
        <filter val="9 481,99"/>
        <filter val="924 885,54"/>
        <filter val="99 680,14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>
    <pageSetUpPr fitToPage="1"/>
  </sheetPr>
  <dimension ref="A1:G95"/>
  <sheetViews>
    <sheetView view="pageBreakPreview" topLeftCell="A80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34</v>
      </c>
      <c r="B5" s="246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-1015579.49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99" t="s">
        <v>235</v>
      </c>
      <c r="B13" s="8">
        <v>3580.6</v>
      </c>
      <c r="C13" s="57" t="s">
        <v>234</v>
      </c>
      <c r="D13" s="59" t="s">
        <v>234</v>
      </c>
    </row>
    <row r="14" spans="1:4" ht="16.5" hidden="1" thickBot="1" x14ac:dyDescent="0.3">
      <c r="A14" s="99" t="s">
        <v>236</v>
      </c>
      <c r="B14" s="8">
        <v>874.2</v>
      </c>
      <c r="C14" s="60"/>
      <c r="D14" s="59"/>
    </row>
    <row r="15" spans="1:4" ht="15.75" hidden="1" x14ac:dyDescent="0.25">
      <c r="A15" s="99" t="s">
        <v>237</v>
      </c>
      <c r="B15" s="8">
        <f>B13+B14</f>
        <v>4454.8</v>
      </c>
      <c r="C15" s="61"/>
      <c r="D15" s="62"/>
    </row>
    <row r="16" spans="1:4" ht="16.5" hidden="1" thickBot="1" x14ac:dyDescent="0.3">
      <c r="A16" s="99" t="s">
        <v>238</v>
      </c>
      <c r="B16" s="8">
        <f>2391+3500/3</f>
        <v>3557.666666666667</v>
      </c>
      <c r="C16" s="63" t="s">
        <v>234</v>
      </c>
      <c r="D16" s="62" t="s">
        <v>234</v>
      </c>
    </row>
    <row r="17" spans="1:7" ht="15.75" hidden="1" x14ac:dyDescent="0.25">
      <c r="A17" s="99" t="s">
        <v>239</v>
      </c>
      <c r="B17" s="8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99" t="s">
        <v>240</v>
      </c>
      <c r="B18" s="8">
        <v>1110.8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99" t="s">
        <v>241</v>
      </c>
      <c r="B19" s="8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99" t="s">
        <v>242</v>
      </c>
      <c r="B20" s="8">
        <v>1378</v>
      </c>
      <c r="C20" s="62"/>
      <c r="D20" s="59"/>
      <c r="E20" s="54"/>
      <c r="F20" s="54"/>
      <c r="G20" s="54"/>
    </row>
    <row r="21" spans="1:7" ht="15.75" hidden="1" x14ac:dyDescent="0.25">
      <c r="A21" s="99" t="s">
        <v>243</v>
      </c>
      <c r="B21" s="8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99" t="s">
        <v>244</v>
      </c>
      <c r="B22" s="8">
        <v>212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544</v>
      </c>
      <c r="B24" s="255">
        <f>VLOOKUP(A5,мкд!W:X,2,FALSE)</f>
        <v>680362.26</v>
      </c>
      <c r="C24" s="59"/>
      <c r="D24" s="62"/>
      <c r="E24" s="194">
        <v>15.95</v>
      </c>
      <c r="F24" s="54">
        <v>17.13</v>
      </c>
      <c r="G24" s="54"/>
    </row>
    <row r="25" spans="1:7" ht="16.5" thickBot="1" x14ac:dyDescent="0.3">
      <c r="A25" s="64" t="s">
        <v>318</v>
      </c>
      <c r="B25" s="14">
        <f>VLOOKUP(A5,мкд!W:Y,3,FALSE)</f>
        <v>630731.26</v>
      </c>
      <c r="C25" s="63"/>
      <c r="D25" s="62"/>
      <c r="E25" s="54">
        <f>B15*E23*E24+B15*F23*F24</f>
        <v>863162.04799999995</v>
      </c>
      <c r="F25" s="54"/>
      <c r="G25" s="54"/>
    </row>
    <row r="26" spans="1:7" ht="15.75" x14ac:dyDescent="0.25">
      <c r="A26" s="100" t="s">
        <v>348</v>
      </c>
      <c r="B26" s="13">
        <v>164891.6</v>
      </c>
      <c r="C26" s="57"/>
      <c r="D26" s="59"/>
      <c r="E26" s="54"/>
      <c r="F26" s="54"/>
      <c r="G26" s="54"/>
    </row>
    <row r="27" spans="1:7" ht="16.5" thickBot="1" x14ac:dyDescent="0.3">
      <c r="A27" s="100" t="s">
        <v>349</v>
      </c>
      <c r="B27" s="13">
        <v>193617.44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8832.39</v>
      </c>
      <c r="C28" s="56"/>
      <c r="D28" s="62"/>
      <c r="E28" s="54"/>
      <c r="F28" s="54"/>
      <c r="G28" s="54"/>
    </row>
    <row r="29" spans="1:7" ht="16.5" thickBot="1" x14ac:dyDescent="0.3">
      <c r="A29" s="100" t="s">
        <v>250</v>
      </c>
      <c r="B29" s="13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160577.79999999999</v>
      </c>
      <c r="C32" s="59"/>
      <c r="D32" s="62"/>
      <c r="E32" s="67">
        <f>(B86-B26-B24)/1.2/1.03</f>
        <v>595969.5848548176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v>112495.69</v>
      </c>
      <c r="C33" s="63"/>
      <c r="D33" s="62">
        <v>30320.57</v>
      </c>
      <c r="E33" s="54"/>
      <c r="F33" s="54"/>
      <c r="G33" s="54"/>
    </row>
    <row r="34" spans="1:7" ht="15.75" hidden="1" x14ac:dyDescent="0.25">
      <c r="A34" s="69" t="s">
        <v>338</v>
      </c>
      <c r="B34" s="8"/>
      <c r="C34" s="57"/>
      <c r="D34" s="59">
        <v>0</v>
      </c>
      <c r="E34" s="54"/>
      <c r="F34" s="54"/>
      <c r="G34" s="54"/>
    </row>
    <row r="35" spans="1:7" ht="15.75" x14ac:dyDescent="0.25">
      <c r="A35" s="69" t="s">
        <v>256</v>
      </c>
      <c r="B35" s="8">
        <v>11795.75</v>
      </c>
      <c r="C35" s="62"/>
      <c r="D35" s="59">
        <v>0</v>
      </c>
      <c r="E35" s="54"/>
      <c r="F35" s="54"/>
      <c r="G35" s="54"/>
    </row>
    <row r="36" spans="1:7" ht="15.75" x14ac:dyDescent="0.25">
      <c r="A36" s="101" t="s">
        <v>255</v>
      </c>
      <c r="B36" s="8">
        <v>23155.96</v>
      </c>
      <c r="C36" s="62" t="s">
        <v>234</v>
      </c>
      <c r="D36" s="59">
        <v>0</v>
      </c>
      <c r="E36" s="54" t="s">
        <v>350</v>
      </c>
      <c r="F36" s="54"/>
      <c r="G36" s="54"/>
    </row>
    <row r="37" spans="1:7" ht="17.25" thickBot="1" x14ac:dyDescent="0.3">
      <c r="A37" s="147" t="s">
        <v>257</v>
      </c>
      <c r="B37" s="11">
        <v>13130.4</v>
      </c>
      <c r="C37" s="62"/>
      <c r="D37" s="59">
        <v>0</v>
      </c>
      <c r="E37" s="54"/>
      <c r="F37" s="54"/>
      <c r="G37" s="54"/>
    </row>
    <row r="38" spans="1:7" ht="16.5" hidden="1" thickBot="1" x14ac:dyDescent="0.3">
      <c r="A38" s="69" t="s">
        <v>351</v>
      </c>
      <c r="B38" s="11">
        <v>0</v>
      </c>
      <c r="C38" s="62"/>
      <c r="D38" s="59">
        <v>0</v>
      </c>
      <c r="E38" s="54"/>
      <c r="F38" s="54"/>
      <c r="G38" s="54"/>
    </row>
    <row r="39" spans="1:7" ht="16.5" hidden="1" thickBot="1" x14ac:dyDescent="0.3">
      <c r="A39" s="69" t="s">
        <v>322</v>
      </c>
      <c r="B39" s="8">
        <v>0</v>
      </c>
      <c r="C39" s="62"/>
      <c r="D39" s="59">
        <v>0</v>
      </c>
      <c r="E39" s="54"/>
      <c r="F39" s="54"/>
      <c r="G39" s="54"/>
    </row>
    <row r="40" spans="1:7" ht="16.5" hidden="1" thickBot="1" x14ac:dyDescent="0.3">
      <c r="A40" s="69" t="s">
        <v>310</v>
      </c>
      <c r="B40" s="11">
        <v>0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311</v>
      </c>
      <c r="B41" s="8">
        <v>0</v>
      </c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325273.93830581056</v>
      </c>
      <c r="C42" s="56"/>
      <c r="D42" s="62"/>
      <c r="E42" s="67"/>
      <c r="F42" s="67"/>
      <c r="G42" s="67"/>
    </row>
    <row r="43" spans="1:7" ht="15.75" x14ac:dyDescent="0.25">
      <c r="A43" s="69" t="s">
        <v>262</v>
      </c>
      <c r="B43" s="11">
        <v>21320.17</v>
      </c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276853.55999999994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[3]тарифы!D163*B15*1.0952+1085.17*1.12</f>
        <v>27100.208305810611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109277.57</v>
      </c>
      <c r="C46" s="56"/>
      <c r="D46" s="62"/>
    </row>
    <row r="47" spans="1:7" ht="15.75" x14ac:dyDescent="0.25">
      <c r="A47" s="69" t="s">
        <v>324</v>
      </c>
      <c r="B47" s="11">
        <v>4665.3599999999997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1">
        <v>5665.02</v>
      </c>
      <c r="C48" s="62"/>
      <c r="D48" s="59"/>
      <c r="E48" s="54" t="s">
        <v>269</v>
      </c>
      <c r="F48" s="54"/>
      <c r="G48" s="54"/>
    </row>
    <row r="49" spans="1:4" ht="15.75" hidden="1" x14ac:dyDescent="0.25">
      <c r="A49" s="102" t="s">
        <v>270</v>
      </c>
      <c r="B49" s="8">
        <v>0</v>
      </c>
      <c r="C49" s="62"/>
      <c r="D49" s="59"/>
    </row>
    <row r="50" spans="1:4" ht="15.75" hidden="1" x14ac:dyDescent="0.25">
      <c r="A50" s="102" t="s">
        <v>271</v>
      </c>
      <c r="B50" s="8">
        <v>0</v>
      </c>
      <c r="C50" s="62"/>
      <c r="D50" s="59">
        <v>4190</v>
      </c>
    </row>
    <row r="51" spans="1:4" ht="15.75" hidden="1" x14ac:dyDescent="0.25">
      <c r="A51" s="102" t="s">
        <v>352</v>
      </c>
      <c r="B51" s="8">
        <v>0</v>
      </c>
      <c r="C51" s="62"/>
      <c r="D51" s="59"/>
    </row>
    <row r="52" spans="1:4" ht="15.75" x14ac:dyDescent="0.25">
      <c r="A52" s="102" t="s">
        <v>343</v>
      </c>
      <c r="B52" s="8">
        <v>8133.61</v>
      </c>
      <c r="C52" s="62"/>
      <c r="D52" s="59">
        <v>105.14</v>
      </c>
    </row>
    <row r="53" spans="1:4" ht="15" customHeight="1" x14ac:dyDescent="0.25">
      <c r="A53" s="102" t="s">
        <v>520</v>
      </c>
      <c r="B53" s="8">
        <v>4200</v>
      </c>
      <c r="C53" s="62">
        <v>0</v>
      </c>
      <c r="D53" s="59">
        <v>522.99</v>
      </c>
    </row>
    <row r="54" spans="1:4" ht="16.5" thickBot="1" x14ac:dyDescent="0.3">
      <c r="A54" s="102" t="s">
        <v>519</v>
      </c>
      <c r="B54" s="8">
        <v>36700</v>
      </c>
      <c r="C54" s="62">
        <v>1</v>
      </c>
      <c r="D54" s="76">
        <v>695.13</v>
      </c>
    </row>
    <row r="55" spans="1:4" ht="16.5" hidden="1" thickBot="1" x14ac:dyDescent="0.3">
      <c r="A55" s="102" t="s">
        <v>354</v>
      </c>
      <c r="B55" s="8"/>
      <c r="C55" s="62"/>
      <c r="D55" s="76"/>
    </row>
    <row r="56" spans="1:4" ht="16.5" hidden="1" thickBot="1" x14ac:dyDescent="0.3">
      <c r="A56" s="102" t="s">
        <v>355</v>
      </c>
      <c r="B56" s="8"/>
      <c r="C56" s="62">
        <v>0</v>
      </c>
      <c r="D56" s="59">
        <f>10695.76/1.18</f>
        <v>9064.203389830509</v>
      </c>
    </row>
    <row r="57" spans="1:4" ht="16.5" hidden="1" thickBot="1" x14ac:dyDescent="0.3">
      <c r="A57" s="75" t="s">
        <v>312</v>
      </c>
      <c r="B57" s="11">
        <v>0</v>
      </c>
      <c r="C57" s="62">
        <v>0</v>
      </c>
      <c r="D57" s="59">
        <f>2300/1.18</f>
        <v>1949.1525423728815</v>
      </c>
    </row>
    <row r="58" spans="1:4" ht="16.5" hidden="1" thickBot="1" x14ac:dyDescent="0.3">
      <c r="A58" s="102" t="s">
        <v>313</v>
      </c>
      <c r="B58" s="8">
        <v>0</v>
      </c>
      <c r="C58" s="60">
        <v>0</v>
      </c>
      <c r="D58" s="59">
        <v>0</v>
      </c>
    </row>
    <row r="59" spans="1:4" ht="15" customHeight="1" thickBot="1" x14ac:dyDescent="0.3">
      <c r="A59" s="102" t="s">
        <v>522</v>
      </c>
      <c r="B59" s="8">
        <v>21444.02</v>
      </c>
      <c r="C59" s="56"/>
      <c r="D59" s="62"/>
    </row>
    <row r="60" spans="1:4" ht="16.5" thickBot="1" x14ac:dyDescent="0.3">
      <c r="A60" s="101" t="s">
        <v>518</v>
      </c>
      <c r="B60" s="8">
        <v>17765.05</v>
      </c>
      <c r="C60" s="57"/>
      <c r="D60" s="59"/>
    </row>
    <row r="61" spans="1:4" ht="16.5" hidden="1" thickBot="1" x14ac:dyDescent="0.3">
      <c r="A61" s="101" t="s">
        <v>345</v>
      </c>
      <c r="B61" s="8"/>
      <c r="C61" s="62"/>
      <c r="D61" s="59">
        <v>0</v>
      </c>
    </row>
    <row r="62" spans="1:4" ht="16.5" hidden="1" thickBot="1" x14ac:dyDescent="0.3">
      <c r="A62" s="69" t="s">
        <v>282</v>
      </c>
      <c r="B62" s="11"/>
      <c r="C62" s="62"/>
      <c r="D62" s="59">
        <v>0</v>
      </c>
    </row>
    <row r="63" spans="1:4" ht="16.5" hidden="1" thickBot="1" x14ac:dyDescent="0.3">
      <c r="A63" s="69" t="s">
        <v>347</v>
      </c>
      <c r="B63" s="132"/>
      <c r="C63" s="78">
        <v>1</v>
      </c>
      <c r="D63" s="59">
        <v>0</v>
      </c>
    </row>
    <row r="64" spans="1:4" ht="16.5" thickBot="1" x14ac:dyDescent="0.3">
      <c r="A64" s="69" t="s">
        <v>283</v>
      </c>
      <c r="B64" s="132">
        <f>VLOOKUP(A5,'[2]МКД 33'!$AI:$FO,137,FALSE)</f>
        <v>6482.4000000000005</v>
      </c>
      <c r="C64" s="79">
        <v>80</v>
      </c>
      <c r="D64" s="62">
        <v>2</v>
      </c>
    </row>
    <row r="65" spans="1:4" s="55" customFormat="1" ht="16.5" thickBot="1" x14ac:dyDescent="0.3">
      <c r="A65" s="69" t="s">
        <v>356</v>
      </c>
      <c r="B65" s="132">
        <f>597.28+3624.83</f>
        <v>4222.1099999999997</v>
      </c>
      <c r="C65" s="80">
        <v>80</v>
      </c>
      <c r="D65" s="73">
        <v>560</v>
      </c>
    </row>
    <row r="66" spans="1:4" s="55" customFormat="1" ht="16.5" thickBot="1" x14ac:dyDescent="0.3">
      <c r="A66" s="175" t="s">
        <v>285</v>
      </c>
      <c r="B66" s="121">
        <f>SUM(B67:B74)</f>
        <v>364327.88829395483</v>
      </c>
      <c r="C66" s="56"/>
      <c r="D66" s="60"/>
    </row>
    <row r="67" spans="1:4" ht="16.5" hidden="1" thickBot="1" x14ac:dyDescent="0.3">
      <c r="A67" s="101" t="s">
        <v>286</v>
      </c>
      <c r="B67" s="8">
        <v>0</v>
      </c>
      <c r="C67" s="65"/>
      <c r="D67" s="73"/>
    </row>
    <row r="68" spans="1:4" ht="16.5" thickBot="1" x14ac:dyDescent="0.3">
      <c r="A68" s="69" t="s">
        <v>287</v>
      </c>
      <c r="B68" s="11">
        <f>129518.65*1.04*1.12*1.0952</f>
        <v>165225.51191910403</v>
      </c>
      <c r="C68" s="56">
        <f>B15*46</f>
        <v>204920.80000000002</v>
      </c>
      <c r="D68" s="60"/>
    </row>
    <row r="69" spans="1:4" ht="15.75" hidden="1" x14ac:dyDescent="0.25">
      <c r="A69" s="101" t="s">
        <v>288</v>
      </c>
      <c r="B69" s="8">
        <v>0</v>
      </c>
      <c r="C69" s="65"/>
      <c r="D69" s="73"/>
    </row>
    <row r="70" spans="1:4" ht="16.5" thickBot="1" x14ac:dyDescent="0.3">
      <c r="A70" s="74" t="s">
        <v>289</v>
      </c>
      <c r="B70" s="11">
        <f>[3]тарифы!D164*B13*1.12*1.0952</f>
        <v>4842.1125748508384</v>
      </c>
      <c r="C70" s="60"/>
      <c r="D70" s="73"/>
    </row>
    <row r="71" spans="1:4" ht="15.75" x14ac:dyDescent="0.25">
      <c r="A71" s="74" t="s">
        <v>290</v>
      </c>
      <c r="B71" s="11">
        <f>5.06*B15</f>
        <v>22541.288</v>
      </c>
      <c r="C71" s="81"/>
      <c r="D71" s="60"/>
    </row>
    <row r="72" spans="1:4" ht="15.75" x14ac:dyDescent="0.25">
      <c r="A72" s="74" t="s">
        <v>291</v>
      </c>
      <c r="B72" s="11">
        <f>17.68*B15</f>
        <v>78760.864000000001</v>
      </c>
      <c r="C72" s="73"/>
      <c r="D72" s="60"/>
    </row>
    <row r="73" spans="1:4" ht="15.75" x14ac:dyDescent="0.25">
      <c r="A73" s="25" t="s">
        <v>292</v>
      </c>
      <c r="B73" s="11">
        <f>8987.44*1.0952</f>
        <v>9843.044288000001</v>
      </c>
      <c r="C73" s="73"/>
      <c r="D73" s="60"/>
    </row>
    <row r="74" spans="1:4" ht="15.75" x14ac:dyDescent="0.25">
      <c r="A74" s="74" t="s">
        <v>293</v>
      </c>
      <c r="B74" s="11">
        <f>75890.31*1.0952</f>
        <v>83115.067511999994</v>
      </c>
      <c r="C74" s="73"/>
      <c r="D74" s="60"/>
    </row>
    <row r="75" spans="1:4" ht="47.25" x14ac:dyDescent="0.25">
      <c r="A75" s="213" t="s">
        <v>326</v>
      </c>
      <c r="B75" s="121">
        <f>SUM(B76:B76)</f>
        <v>133385.45939199999</v>
      </c>
      <c r="C75" s="73"/>
      <c r="D75" s="60"/>
    </row>
    <row r="76" spans="1:4" ht="15.75" x14ac:dyDescent="0.25">
      <c r="A76" s="74" t="s">
        <v>295</v>
      </c>
      <c r="B76" s="11">
        <f>121790.96*1.0952</f>
        <v>133385.45939199999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186989.27514136932</v>
      </c>
      <c r="C77" s="73"/>
      <c r="D77" s="60"/>
    </row>
    <row r="78" spans="1:4" ht="32.25" thickBot="1" x14ac:dyDescent="0.3">
      <c r="A78" s="82" t="s">
        <v>327</v>
      </c>
      <c r="B78" s="11">
        <f>[3]тарифы!D170*B15*1.12*1.0952</f>
        <v>117746.89301931653</v>
      </c>
      <c r="C78" s="63"/>
      <c r="D78" s="60"/>
    </row>
    <row r="79" spans="1:4" ht="22.5" customHeight="1" thickBot="1" x14ac:dyDescent="0.3">
      <c r="A79" s="104" t="s">
        <v>298</v>
      </c>
      <c r="B79" s="8">
        <f>(B26/1.2)*30%</f>
        <v>41222.9</v>
      </c>
      <c r="C79" s="65"/>
      <c r="D79" s="73"/>
    </row>
    <row r="80" spans="1:4" ht="15.75" x14ac:dyDescent="0.25">
      <c r="A80" s="83" t="s">
        <v>328</v>
      </c>
      <c r="B80" s="11">
        <f>10571.93+8827.37</f>
        <v>19399.300000000003</v>
      </c>
      <c r="C80" s="81"/>
      <c r="D80" s="60"/>
    </row>
    <row r="81" spans="1:4" ht="15.75" x14ac:dyDescent="0.25">
      <c r="A81" s="83" t="s">
        <v>329</v>
      </c>
      <c r="B81" s="11">
        <f>[3]тарифы!D173*B13*1.12*1.0952</f>
        <v>8620.1821220527509</v>
      </c>
      <c r="C81" s="73"/>
      <c r="D81" s="60"/>
    </row>
    <row r="82" spans="1:4" ht="15.75" x14ac:dyDescent="0.25">
      <c r="A82" s="214" t="s">
        <v>301</v>
      </c>
      <c r="B82" s="14">
        <f>B32+B42+B46+B66+B75+B77</f>
        <v>1279831.9311331348</v>
      </c>
      <c r="C82" s="73"/>
      <c r="D82" s="60"/>
    </row>
    <row r="83" spans="1:4" ht="15.75" x14ac:dyDescent="0.25">
      <c r="A83" s="215" t="s">
        <v>302</v>
      </c>
      <c r="B83" s="11">
        <f>B82*0.03</f>
        <v>38394.957933994039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1318226.8890671288</v>
      </c>
      <c r="C84" s="73"/>
      <c r="D84" s="60"/>
    </row>
    <row r="85" spans="1:4" ht="16.5" thickBot="1" x14ac:dyDescent="0.3">
      <c r="A85" s="217" t="s">
        <v>304</v>
      </c>
      <c r="B85" s="142">
        <f>B84*0.2</f>
        <v>263645.37781342579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1581872.2668805546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-1743365.5068805546</v>
      </c>
      <c r="C87" s="85"/>
      <c r="D87" s="86"/>
    </row>
    <row r="88" spans="1:4" s="55" customFormat="1" ht="16.5" hidden="1" thickBot="1" x14ac:dyDescent="0.3">
      <c r="A88" s="105" t="s">
        <v>307</v>
      </c>
      <c r="B88" s="39"/>
      <c r="C88" s="88"/>
      <c r="D88" s="86"/>
    </row>
    <row r="89" spans="1:4" s="55" customFormat="1" ht="16.5" hidden="1" thickBot="1" x14ac:dyDescent="0.3">
      <c r="A89" s="106" t="s">
        <v>308</v>
      </c>
      <c r="B89" s="39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11000000}">
    <filterColumn colId="1">
      <filters>
        <filter val="1 279 831,93"/>
        <filter val="1 318 226,89"/>
        <filter val="1 581 872,27"/>
        <filter val="-1 743 365,51"/>
        <filter val="109 277,57"/>
        <filter val="11 795,75"/>
        <filter val="112 495,69"/>
        <filter val="117 746,89"/>
        <filter val="13 130,40"/>
        <filter val="133 385,46"/>
        <filter val="160 577,80"/>
        <filter val="165 225,51"/>
        <filter val="17 765,05"/>
        <filter val="186 989,28"/>
        <filter val="19 399,30"/>
        <filter val="21 320,17"/>
        <filter val="21 444,02"/>
        <filter val="22 541,29"/>
        <filter val="23 155,96"/>
        <filter val="263 645,38"/>
        <filter val="27 100,21"/>
        <filter val="276 853,56"/>
        <filter val="325 273,94"/>
        <filter val="36 700,00"/>
        <filter val="364 327,89"/>
        <filter val="38 394,96"/>
        <filter val="4 200,00"/>
        <filter val="4 222,11"/>
        <filter val="4 665,36"/>
        <filter val="4 842,11"/>
        <filter val="41 222,90"/>
        <filter val="5 665,02"/>
        <filter val="6 482,40"/>
        <filter val="78 760,86"/>
        <filter val="8 133,61"/>
        <filter val="8 620,18"/>
        <filter val="83 115,07"/>
        <filter val="9 843,04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filterMode="1">
    <pageSetUpPr fitToPage="1"/>
  </sheetPr>
  <dimension ref="A1:G93"/>
  <sheetViews>
    <sheetView view="pageBreakPreview" topLeftCell="A72" zoomScale="80" zoomScaleNormal="100" zoomScaleSheetLayoutView="80" workbookViewId="0">
      <selection activeCell="A24" sqref="A24:B24"/>
    </sheetView>
  </sheetViews>
  <sheetFormatPr defaultRowHeight="15.75" x14ac:dyDescent="0.25"/>
  <cols>
    <col min="1" max="1" width="91.5703125" style="3" customWidth="1"/>
    <col min="2" max="2" width="17.710937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269" t="s">
        <v>224</v>
      </c>
      <c r="B1" s="269"/>
    </row>
    <row r="2" spans="1:4" ht="16.5" x14ac:dyDescent="0.25">
      <c r="A2" s="270" t="s">
        <v>225</v>
      </c>
      <c r="B2" s="270"/>
    </row>
    <row r="3" spans="1:4" ht="16.5" x14ac:dyDescent="0.25">
      <c r="A3" s="270" t="s">
        <v>226</v>
      </c>
      <c r="B3" s="270"/>
    </row>
    <row r="4" spans="1:4" x14ac:dyDescent="0.25">
      <c r="A4" s="184" t="s">
        <v>494</v>
      </c>
      <c r="B4" s="184"/>
    </row>
    <row r="5" spans="1:4" x14ac:dyDescent="0.25">
      <c r="A5" s="184" t="s">
        <v>35</v>
      </c>
      <c r="B5" s="185"/>
    </row>
    <row r="6" spans="1:4" ht="5.25" customHeight="1" x14ac:dyDescent="0.25">
      <c r="A6" s="184"/>
      <c r="B6" s="4"/>
      <c r="C6" s="4"/>
    </row>
    <row r="7" spans="1:4" ht="16.5" thickBot="1" x14ac:dyDescent="0.3">
      <c r="A7" s="186"/>
      <c r="B7" s="4"/>
      <c r="C7" s="4"/>
    </row>
    <row r="8" spans="1:4" ht="15.75" customHeight="1" x14ac:dyDescent="0.25">
      <c r="A8" s="271" t="s">
        <v>227</v>
      </c>
      <c r="B8" s="273" t="s">
        <v>228</v>
      </c>
      <c r="C8" s="265" t="s">
        <v>229</v>
      </c>
      <c r="D8" s="265" t="s">
        <v>230</v>
      </c>
    </row>
    <row r="9" spans="1:4" ht="16.5" thickBot="1" x14ac:dyDescent="0.3">
      <c r="A9" s="272"/>
      <c r="B9" s="274"/>
      <c r="C9" s="266"/>
      <c r="D9" s="266"/>
    </row>
    <row r="10" spans="1:4" ht="16.5" thickBot="1" x14ac:dyDescent="0.3">
      <c r="A10" s="187" t="s">
        <v>231</v>
      </c>
      <c r="B10" s="188">
        <f>VLOOKUP(A5,мкд!S:T,2,FALSE)</f>
        <v>-569747.93000000005</v>
      </c>
      <c r="C10" s="189"/>
      <c r="D10" s="189"/>
    </row>
    <row r="11" spans="1:4" ht="16.5" hidden="1" thickBot="1" x14ac:dyDescent="0.3">
      <c r="A11" s="190" t="s">
        <v>232</v>
      </c>
      <c r="B11" s="188"/>
      <c r="C11" s="191"/>
      <c r="D11" s="191"/>
    </row>
    <row r="12" spans="1:4" x14ac:dyDescent="0.25">
      <c r="A12" s="192" t="s">
        <v>233</v>
      </c>
      <c r="B12" s="193"/>
      <c r="C12" s="5" t="s">
        <v>234</v>
      </c>
      <c r="D12" s="6" t="s">
        <v>234</v>
      </c>
    </row>
    <row r="13" spans="1:4" hidden="1" x14ac:dyDescent="0.25">
      <c r="A13" s="7" t="s">
        <v>235</v>
      </c>
      <c r="B13" s="8">
        <v>3393.3</v>
      </c>
      <c r="C13" s="9" t="s">
        <v>234</v>
      </c>
      <c r="D13" s="10" t="s">
        <v>234</v>
      </c>
    </row>
    <row r="14" spans="1:4" hidden="1" x14ac:dyDescent="0.25">
      <c r="A14" s="7" t="s">
        <v>236</v>
      </c>
      <c r="B14" s="11">
        <v>0</v>
      </c>
      <c r="C14" s="9"/>
      <c r="D14" s="10"/>
    </row>
    <row r="15" spans="1:4" hidden="1" x14ac:dyDescent="0.25">
      <c r="A15" s="7" t="s">
        <v>237</v>
      </c>
      <c r="B15" s="8">
        <f>B13+B14</f>
        <v>3393.3</v>
      </c>
      <c r="C15" s="9"/>
      <c r="D15" s="10"/>
    </row>
    <row r="16" spans="1:4" hidden="1" x14ac:dyDescent="0.25">
      <c r="A16" s="7" t="s">
        <v>238</v>
      </c>
      <c r="B16" s="8">
        <f>1235.8+1365.9/3</f>
        <v>1691.1</v>
      </c>
      <c r="C16" s="9" t="s">
        <v>234</v>
      </c>
      <c r="D16" s="10" t="s">
        <v>234</v>
      </c>
    </row>
    <row r="17" spans="1:7" hidden="1" x14ac:dyDescent="0.25">
      <c r="A17" s="7" t="s">
        <v>239</v>
      </c>
      <c r="B17" s="11">
        <v>0</v>
      </c>
      <c r="C17" s="9" t="s">
        <v>234</v>
      </c>
      <c r="D17" s="10" t="s">
        <v>234</v>
      </c>
    </row>
    <row r="18" spans="1:7" hidden="1" x14ac:dyDescent="0.25">
      <c r="A18" s="7" t="s">
        <v>240</v>
      </c>
      <c r="B18" s="8">
        <v>930.2</v>
      </c>
      <c r="C18" s="9" t="s">
        <v>234</v>
      </c>
      <c r="D18" s="10" t="s">
        <v>234</v>
      </c>
    </row>
    <row r="19" spans="1:7" hidden="1" x14ac:dyDescent="0.25">
      <c r="A19" s="7" t="s">
        <v>241</v>
      </c>
      <c r="B19" s="11">
        <v>0</v>
      </c>
      <c r="C19" s="9" t="s">
        <v>234</v>
      </c>
      <c r="D19" s="10" t="s">
        <v>234</v>
      </c>
    </row>
    <row r="20" spans="1:7" hidden="1" x14ac:dyDescent="0.25">
      <c r="A20" s="7" t="s">
        <v>242</v>
      </c>
      <c r="B20" s="8">
        <v>1224</v>
      </c>
      <c r="C20" s="9"/>
      <c r="D20" s="10"/>
    </row>
    <row r="21" spans="1:7" hidden="1" x14ac:dyDescent="0.25">
      <c r="A21" s="7" t="s">
        <v>243</v>
      </c>
      <c r="B21" s="11">
        <v>0</v>
      </c>
      <c r="C21" s="9" t="s">
        <v>234</v>
      </c>
      <c r="D21" s="10" t="s">
        <v>234</v>
      </c>
    </row>
    <row r="22" spans="1:7" hidden="1" x14ac:dyDescent="0.25">
      <c r="A22" s="7" t="s">
        <v>244</v>
      </c>
      <c r="B22" s="8">
        <v>164</v>
      </c>
      <c r="C22" s="9"/>
      <c r="D22" s="10"/>
    </row>
    <row r="23" spans="1:7" x14ac:dyDescent="0.25">
      <c r="A23" s="7"/>
      <c r="B23" s="11"/>
      <c r="C23" s="9"/>
      <c r="D23" s="10"/>
      <c r="E23" s="3">
        <v>10</v>
      </c>
      <c r="F23" s="3">
        <v>2</v>
      </c>
    </row>
    <row r="24" spans="1:7" x14ac:dyDescent="0.25">
      <c r="A24" s="257" t="s">
        <v>245</v>
      </c>
      <c r="B24" s="255">
        <f>VLOOKUP(A5,мкд!W:X,2,FALSE)</f>
        <v>555697.6</v>
      </c>
      <c r="C24" s="9"/>
      <c r="D24" s="10"/>
      <c r="E24" s="194">
        <v>13.5</v>
      </c>
      <c r="F24" s="195">
        <v>14.5</v>
      </c>
    </row>
    <row r="25" spans="1:7" x14ac:dyDescent="0.25">
      <c r="A25" s="12" t="s">
        <v>246</v>
      </c>
      <c r="B25" s="14">
        <f>VLOOKUP(A5,мкд!W:Y,3,FALSE)</f>
        <v>537906.07999999996</v>
      </c>
      <c r="C25" s="9"/>
      <c r="D25" s="10"/>
      <c r="E25" s="3">
        <f>B15*E23*E24+B15*F23*F24</f>
        <v>556501.19999999995</v>
      </c>
    </row>
    <row r="26" spans="1:7" hidden="1" x14ac:dyDescent="0.25">
      <c r="A26" s="12" t="s">
        <v>247</v>
      </c>
      <c r="B26" s="13"/>
      <c r="C26" s="9"/>
      <c r="D26" s="10"/>
    </row>
    <row r="27" spans="1:7" hidden="1" x14ac:dyDescent="0.25">
      <c r="A27" s="12" t="s">
        <v>248</v>
      </c>
      <c r="B27" s="13">
        <f>B26</f>
        <v>0</v>
      </c>
      <c r="C27" s="9"/>
      <c r="D27" s="10"/>
    </row>
    <row r="28" spans="1:7" x14ac:dyDescent="0.25">
      <c r="A28" s="12" t="s">
        <v>249</v>
      </c>
      <c r="B28" s="14">
        <v>7154.31</v>
      </c>
      <c r="C28" s="9"/>
      <c r="D28" s="10"/>
    </row>
    <row r="29" spans="1:7" hidden="1" x14ac:dyDescent="0.25">
      <c r="A29" s="12" t="s">
        <v>250</v>
      </c>
      <c r="B29" s="8"/>
      <c r="C29" s="9"/>
      <c r="D29" s="10"/>
    </row>
    <row r="30" spans="1:7" x14ac:dyDescent="0.25">
      <c r="A30" s="196"/>
      <c r="B30" s="11"/>
      <c r="C30" s="9"/>
      <c r="D30" s="10"/>
    </row>
    <row r="31" spans="1:7" x14ac:dyDescent="0.25">
      <c r="A31" s="197" t="s">
        <v>251</v>
      </c>
      <c r="B31" s="11"/>
      <c r="C31" s="9"/>
      <c r="D31" s="10"/>
    </row>
    <row r="32" spans="1:7" s="18" customFormat="1" ht="31.5" x14ac:dyDescent="0.25">
      <c r="A32" s="15" t="s">
        <v>252</v>
      </c>
      <c r="B32" s="121">
        <f>SUM(B33:B41)</f>
        <v>169081.4</v>
      </c>
      <c r="C32" s="9"/>
      <c r="D32" s="10"/>
      <c r="E32" s="17">
        <f>(B24-B85)/1.2/1.03</f>
        <v>-275035.32297190942</v>
      </c>
      <c r="F32" s="17" t="e">
        <f>(#REF!-#REF!)/1.2/1.03</f>
        <v>#REF!</v>
      </c>
      <c r="G32" s="17" t="e">
        <f>(#REF!-#REF!)/1.2/1.03</f>
        <v>#REF!</v>
      </c>
    </row>
    <row r="33" spans="1:7" x14ac:dyDescent="0.25">
      <c r="A33" s="19" t="s">
        <v>253</v>
      </c>
      <c r="B33" s="11">
        <v>115652.27</v>
      </c>
      <c r="C33" s="9"/>
      <c r="D33" s="10">
        <v>32718.04</v>
      </c>
      <c r="E33" s="3">
        <v>31</v>
      </c>
    </row>
    <row r="34" spans="1:7" hidden="1" x14ac:dyDescent="0.25">
      <c r="A34" s="19" t="s">
        <v>357</v>
      </c>
      <c r="B34" s="11">
        <v>0</v>
      </c>
      <c r="C34" s="9"/>
      <c r="D34" s="10">
        <v>0</v>
      </c>
    </row>
    <row r="35" spans="1:7" x14ac:dyDescent="0.25">
      <c r="A35" s="19" t="s">
        <v>255</v>
      </c>
      <c r="B35" s="8">
        <v>39678.78</v>
      </c>
      <c r="C35" s="9"/>
      <c r="D35" s="10">
        <v>0</v>
      </c>
      <c r="E35" s="3">
        <v>46</v>
      </c>
    </row>
    <row r="36" spans="1:7" x14ac:dyDescent="0.25">
      <c r="A36" s="19" t="s">
        <v>256</v>
      </c>
      <c r="B36" s="8">
        <v>13750.35</v>
      </c>
      <c r="C36" s="9" t="s">
        <v>234</v>
      </c>
      <c r="D36" s="10">
        <v>0</v>
      </c>
      <c r="E36" s="3">
        <v>4</v>
      </c>
    </row>
    <row r="37" spans="1:7" hidden="1" x14ac:dyDescent="0.25">
      <c r="A37" s="19" t="s">
        <v>257</v>
      </c>
      <c r="B37" s="11">
        <v>0</v>
      </c>
      <c r="C37" s="9"/>
      <c r="D37" s="10">
        <v>0</v>
      </c>
    </row>
    <row r="38" spans="1:7" hidden="1" x14ac:dyDescent="0.25">
      <c r="A38" s="19" t="s">
        <v>258</v>
      </c>
      <c r="B38" s="11">
        <v>0</v>
      </c>
      <c r="C38" s="9"/>
      <c r="D38" s="10">
        <v>0</v>
      </c>
    </row>
    <row r="39" spans="1:7" hidden="1" x14ac:dyDescent="0.25">
      <c r="A39" s="19" t="s">
        <v>259</v>
      </c>
      <c r="B39" s="11">
        <v>0</v>
      </c>
      <c r="C39" s="9"/>
      <c r="D39" s="10">
        <v>0</v>
      </c>
    </row>
    <row r="40" spans="1:7" hidden="1" x14ac:dyDescent="0.25">
      <c r="A40" s="19" t="s">
        <v>310</v>
      </c>
      <c r="B40" s="11">
        <v>0</v>
      </c>
      <c r="C40" s="9"/>
      <c r="D40" s="10"/>
    </row>
    <row r="41" spans="1:7" hidden="1" x14ac:dyDescent="0.25">
      <c r="A41" s="19" t="s">
        <v>311</v>
      </c>
      <c r="B41" s="11">
        <v>0</v>
      </c>
      <c r="C41" s="9"/>
      <c r="D41" s="10"/>
    </row>
    <row r="42" spans="1:7" s="18" customFormat="1" ht="47.25" x14ac:dyDescent="0.25">
      <c r="A42" s="15" t="s">
        <v>261</v>
      </c>
      <c r="B42" s="121">
        <f>SUM(B43:B45)</f>
        <v>45625.712</v>
      </c>
      <c r="C42" s="9"/>
      <c r="D42" s="10"/>
      <c r="E42" s="17"/>
      <c r="F42" s="17"/>
      <c r="G42" s="17"/>
    </row>
    <row r="43" spans="1:7" x14ac:dyDescent="0.25">
      <c r="A43" s="19" t="s">
        <v>262</v>
      </c>
      <c r="B43" s="11">
        <v>8541.2900000000009</v>
      </c>
      <c r="C43" s="23"/>
      <c r="D43" s="24"/>
    </row>
    <row r="44" spans="1:7" x14ac:dyDescent="0.25">
      <c r="A44" s="19" t="s">
        <v>263</v>
      </c>
      <c r="B44" s="11">
        <v>15005.189999999999</v>
      </c>
      <c r="C44" s="23"/>
      <c r="D44" s="24"/>
    </row>
    <row r="45" spans="1:7" x14ac:dyDescent="0.25">
      <c r="A45" s="25" t="s">
        <v>264</v>
      </c>
      <c r="B45" s="11">
        <f>18000*1.12*1.0952</f>
        <v>22079.232000000004</v>
      </c>
      <c r="C45" s="23"/>
      <c r="D45" s="24"/>
    </row>
    <row r="46" spans="1:7" s="4" customFormat="1" x14ac:dyDescent="0.25">
      <c r="A46" s="15" t="s">
        <v>265</v>
      </c>
      <c r="B46" s="121">
        <f>SUM(B47:B64)</f>
        <v>46528.76</v>
      </c>
      <c r="C46" s="9"/>
      <c r="D46" s="10"/>
    </row>
    <row r="47" spans="1:7" x14ac:dyDescent="0.25">
      <c r="A47" s="19" t="s">
        <v>266</v>
      </c>
      <c r="B47" s="11">
        <v>2046.44</v>
      </c>
      <c r="C47" s="9"/>
      <c r="D47" s="10"/>
      <c r="E47" s="3" t="s">
        <v>267</v>
      </c>
    </row>
    <row r="48" spans="1:7" hidden="1" x14ac:dyDescent="0.25">
      <c r="A48" s="19" t="s">
        <v>268</v>
      </c>
      <c r="B48" s="11">
        <v>0</v>
      </c>
      <c r="C48" s="9"/>
      <c r="D48" s="10"/>
      <c r="E48" s="3" t="s">
        <v>269</v>
      </c>
    </row>
    <row r="49" spans="1:5" hidden="1" x14ac:dyDescent="0.25">
      <c r="A49" s="26" t="s">
        <v>270</v>
      </c>
      <c r="B49" s="10">
        <v>0</v>
      </c>
      <c r="C49" s="9"/>
      <c r="D49" s="10"/>
    </row>
    <row r="50" spans="1:5" hidden="1" x14ac:dyDescent="0.25">
      <c r="A50" s="26" t="s">
        <v>271</v>
      </c>
      <c r="B50" s="10">
        <v>0</v>
      </c>
      <c r="C50" s="9"/>
      <c r="D50" s="10"/>
    </row>
    <row r="51" spans="1:5" hidden="1" x14ac:dyDescent="0.25">
      <c r="A51" s="26" t="s">
        <v>272</v>
      </c>
      <c r="B51" s="10">
        <v>0</v>
      </c>
      <c r="C51" s="9"/>
      <c r="D51" s="10"/>
    </row>
    <row r="52" spans="1:5" x14ac:dyDescent="0.25">
      <c r="A52" s="26" t="s">
        <v>268</v>
      </c>
      <c r="B52" s="27">
        <v>6127.14</v>
      </c>
      <c r="C52" s="9"/>
      <c r="D52" s="10"/>
    </row>
    <row r="53" spans="1:5" hidden="1" x14ac:dyDescent="0.25">
      <c r="A53" s="26" t="s">
        <v>344</v>
      </c>
      <c r="B53" s="8"/>
      <c r="C53" s="9">
        <v>0</v>
      </c>
      <c r="D53" s="10">
        <v>522.99</v>
      </c>
    </row>
    <row r="54" spans="1:5" x14ac:dyDescent="0.25">
      <c r="A54" s="26" t="s">
        <v>275</v>
      </c>
      <c r="B54" s="8">
        <v>6100</v>
      </c>
      <c r="C54" s="9">
        <v>1</v>
      </c>
      <c r="D54" s="28">
        <v>700.55</v>
      </c>
    </row>
    <row r="55" spans="1:5" hidden="1" x14ac:dyDescent="0.25">
      <c r="A55" s="26" t="s">
        <v>276</v>
      </c>
      <c r="B55" s="11">
        <v>0</v>
      </c>
      <c r="C55" s="9"/>
      <c r="D55" s="28"/>
    </row>
    <row r="56" spans="1:5" hidden="1" x14ac:dyDescent="0.25">
      <c r="A56" s="26" t="s">
        <v>277</v>
      </c>
      <c r="B56" s="11">
        <v>0</v>
      </c>
      <c r="C56" s="9">
        <v>0</v>
      </c>
      <c r="D56" s="10">
        <f>10695.76/1.18</f>
        <v>9064.203389830509</v>
      </c>
    </row>
    <row r="57" spans="1:5" hidden="1" x14ac:dyDescent="0.25">
      <c r="A57" s="26" t="s">
        <v>345</v>
      </c>
      <c r="B57" s="11"/>
      <c r="C57" s="9">
        <v>0</v>
      </c>
      <c r="D57" s="10">
        <f>2300/1.18</f>
        <v>1949.1525423728815</v>
      </c>
    </row>
    <row r="58" spans="1:5" x14ac:dyDescent="0.25">
      <c r="A58" s="26" t="s">
        <v>520</v>
      </c>
      <c r="B58" s="8">
        <v>4200</v>
      </c>
      <c r="C58" s="9">
        <v>0</v>
      </c>
      <c r="D58" s="10">
        <v>0</v>
      </c>
    </row>
    <row r="59" spans="1:5" hidden="1" x14ac:dyDescent="0.25">
      <c r="A59" s="19" t="s">
        <v>279</v>
      </c>
      <c r="B59" s="11">
        <v>0</v>
      </c>
      <c r="C59" s="9"/>
      <c r="D59" s="10"/>
    </row>
    <row r="60" spans="1:5" hidden="1" x14ac:dyDescent="0.25">
      <c r="A60" s="19" t="s">
        <v>280</v>
      </c>
      <c r="B60" s="11">
        <v>0</v>
      </c>
      <c r="C60" s="9"/>
      <c r="D60" s="10">
        <v>0</v>
      </c>
    </row>
    <row r="61" spans="1:5" hidden="1" x14ac:dyDescent="0.25">
      <c r="A61" s="19" t="s">
        <v>347</v>
      </c>
      <c r="B61" s="8"/>
      <c r="C61" s="9"/>
      <c r="D61" s="10">
        <v>0</v>
      </c>
    </row>
    <row r="62" spans="1:5" x14ac:dyDescent="0.25">
      <c r="A62" s="19" t="s">
        <v>282</v>
      </c>
      <c r="B62" s="31">
        <v>22350.74</v>
      </c>
      <c r="C62" s="30">
        <v>1</v>
      </c>
      <c r="D62" s="10">
        <v>0</v>
      </c>
    </row>
    <row r="63" spans="1:5" x14ac:dyDescent="0.25">
      <c r="A63" s="19" t="s">
        <v>283</v>
      </c>
      <c r="B63" s="31">
        <f>VLOOKUP(A5,'[2]МКД 33'!$AI:$FO,137,FALSE)</f>
        <v>5672.1</v>
      </c>
      <c r="C63" s="30">
        <v>70</v>
      </c>
      <c r="D63" s="10">
        <v>2</v>
      </c>
      <c r="E63" s="3">
        <v>0</v>
      </c>
    </row>
    <row r="64" spans="1:5" x14ac:dyDescent="0.25">
      <c r="A64" s="19" t="s">
        <v>281</v>
      </c>
      <c r="B64" s="31">
        <v>32.340000000000003</v>
      </c>
      <c r="C64" s="32">
        <v>70</v>
      </c>
      <c r="D64" s="24">
        <v>560</v>
      </c>
    </row>
    <row r="65" spans="1:4" s="4" customFormat="1" x14ac:dyDescent="0.25">
      <c r="A65" s="33" t="s">
        <v>285</v>
      </c>
      <c r="B65" s="121">
        <f>SUM(B66:B73)</f>
        <v>233474.86448000002</v>
      </c>
      <c r="C65" s="23"/>
      <c r="D65" s="24"/>
    </row>
    <row r="66" spans="1:4" hidden="1" x14ac:dyDescent="0.25">
      <c r="A66" s="19" t="s">
        <v>286</v>
      </c>
      <c r="B66" s="11">
        <v>0</v>
      </c>
      <c r="C66" s="23"/>
      <c r="D66" s="24"/>
    </row>
    <row r="67" spans="1:4" x14ac:dyDescent="0.25">
      <c r="A67" s="19" t="s">
        <v>287</v>
      </c>
      <c r="B67" s="8">
        <f>73778.27*1.0952</f>
        <v>80801.961303999997</v>
      </c>
      <c r="C67" s="23"/>
      <c r="D67" s="24"/>
    </row>
    <row r="68" spans="1:4" hidden="1" x14ac:dyDescent="0.25">
      <c r="A68" s="19" t="s">
        <v>288</v>
      </c>
      <c r="B68" s="11">
        <v>0</v>
      </c>
      <c r="C68" s="23"/>
      <c r="D68" s="24"/>
    </row>
    <row r="69" spans="1:4" x14ac:dyDescent="0.25">
      <c r="A69" s="25" t="s">
        <v>289</v>
      </c>
      <c r="B69" s="8">
        <f>1.35*B15</f>
        <v>4580.9550000000008</v>
      </c>
      <c r="C69" s="23"/>
      <c r="D69" s="24"/>
    </row>
    <row r="70" spans="1:4" x14ac:dyDescent="0.25">
      <c r="A70" s="25" t="s">
        <v>290</v>
      </c>
      <c r="B70" s="11">
        <f>5.06*B15</f>
        <v>17170.097999999998</v>
      </c>
      <c r="C70" s="23"/>
      <c r="D70" s="24"/>
    </row>
    <row r="71" spans="1:4" x14ac:dyDescent="0.25">
      <c r="A71" s="25" t="s">
        <v>291</v>
      </c>
      <c r="B71" s="11">
        <f>17.68*B15</f>
        <v>59993.544000000002</v>
      </c>
      <c r="C71" s="23"/>
      <c r="D71" s="24"/>
    </row>
    <row r="72" spans="1:4" x14ac:dyDescent="0.25">
      <c r="A72" s="25" t="s">
        <v>292</v>
      </c>
      <c r="B72" s="11">
        <f>6000*1.04*1.12*1.0952</f>
        <v>7654.1337600000006</v>
      </c>
      <c r="C72" s="23"/>
      <c r="D72" s="24"/>
    </row>
    <row r="73" spans="1:4" x14ac:dyDescent="0.25">
      <c r="A73" s="25" t="s">
        <v>293</v>
      </c>
      <c r="B73" s="11">
        <f>49600*1.04*1.12*1.0952</f>
        <v>63274.172416000009</v>
      </c>
      <c r="C73" s="23"/>
      <c r="D73" s="24"/>
    </row>
    <row r="74" spans="1:4" ht="63" x14ac:dyDescent="0.25">
      <c r="A74" s="34" t="s">
        <v>294</v>
      </c>
      <c r="B74" s="121">
        <f>SUM(B75:B75)</f>
        <v>126342.27200000001</v>
      </c>
      <c r="C74" s="23"/>
      <c r="D74" s="24"/>
    </row>
    <row r="75" spans="1:4" x14ac:dyDescent="0.25">
      <c r="A75" s="25" t="s">
        <v>295</v>
      </c>
      <c r="B75" s="11">
        <f>103000*1.12*1.0952</f>
        <v>126342.27200000001</v>
      </c>
      <c r="C75" s="23"/>
      <c r="D75" s="24"/>
    </row>
    <row r="76" spans="1:4" s="4" customFormat="1" x14ac:dyDescent="0.25">
      <c r="A76" s="33" t="s">
        <v>296</v>
      </c>
      <c r="B76" s="121">
        <f>SUM(B77:B80)</f>
        <v>103575.842</v>
      </c>
      <c r="C76" s="23"/>
      <c r="D76" s="24"/>
    </row>
    <row r="77" spans="1:4" x14ac:dyDescent="0.25">
      <c r="A77" s="35" t="s">
        <v>297</v>
      </c>
      <c r="B77" s="11">
        <f>73000*1.12*1.0952</f>
        <v>89543.552000000011</v>
      </c>
      <c r="C77" s="23"/>
      <c r="D77" s="24"/>
    </row>
    <row r="78" spans="1:4" hidden="1" x14ac:dyDescent="0.25">
      <c r="A78" s="35" t="s">
        <v>298</v>
      </c>
      <c r="B78" s="11">
        <f>(B26/1.2)*30%</f>
        <v>0</v>
      </c>
      <c r="C78" s="23"/>
      <c r="D78" s="24"/>
    </row>
    <row r="79" spans="1:4" x14ac:dyDescent="0.25">
      <c r="A79" s="36" t="s">
        <v>299</v>
      </c>
      <c r="B79" s="8">
        <f>8409.04</f>
        <v>8409.0400000000009</v>
      </c>
      <c r="C79" s="23"/>
      <c r="D79" s="24"/>
    </row>
    <row r="80" spans="1:4" x14ac:dyDescent="0.25">
      <c r="A80" s="36" t="s">
        <v>300</v>
      </c>
      <c r="B80" s="11">
        <v>5623.25</v>
      </c>
      <c r="C80" s="23">
        <f>B25/100*0.8</f>
        <v>4303.2486399999998</v>
      </c>
      <c r="D80" s="24"/>
    </row>
    <row r="81" spans="1:4" x14ac:dyDescent="0.25">
      <c r="A81" s="37" t="s">
        <v>301</v>
      </c>
      <c r="B81" s="14">
        <f>B32+B42+B46+B65+B74+B76</f>
        <v>724628.85048000002</v>
      </c>
      <c r="C81" s="23"/>
      <c r="D81" s="24"/>
    </row>
    <row r="82" spans="1:4" x14ac:dyDescent="0.25">
      <c r="A82" s="199" t="s">
        <v>302</v>
      </c>
      <c r="B82" s="11">
        <f>B81*0.03</f>
        <v>21738.8655144</v>
      </c>
      <c r="C82" s="23"/>
      <c r="D82" s="24"/>
    </row>
    <row r="83" spans="1:4" s="18" customFormat="1" x14ac:dyDescent="0.25">
      <c r="A83" s="176" t="s">
        <v>303</v>
      </c>
      <c r="B83" s="121">
        <f>B81+B82</f>
        <v>746367.71599439997</v>
      </c>
      <c r="C83" s="23"/>
      <c r="D83" s="24"/>
    </row>
    <row r="84" spans="1:4" ht="16.5" thickBot="1" x14ac:dyDescent="0.3">
      <c r="A84" s="177" t="s">
        <v>304</v>
      </c>
      <c r="B84" s="142">
        <f>B83*0.2</f>
        <v>149273.54319888001</v>
      </c>
      <c r="C84" s="23"/>
      <c r="D84" s="24"/>
    </row>
    <row r="85" spans="1:4" s="4" customFormat="1" ht="16.5" thickBot="1" x14ac:dyDescent="0.3">
      <c r="A85" s="38" t="s">
        <v>305</v>
      </c>
      <c r="B85" s="46">
        <f>B83+B84</f>
        <v>895641.25919328001</v>
      </c>
      <c r="C85" s="40"/>
      <c r="D85" s="41"/>
    </row>
    <row r="86" spans="1:4" s="4" customFormat="1" ht="16.5" thickBot="1" x14ac:dyDescent="0.3">
      <c r="A86" s="42" t="s">
        <v>306</v>
      </c>
      <c r="B86" s="46">
        <f>B10+B24+B26+B28+B29-B85</f>
        <v>-902537.27919328003</v>
      </c>
      <c r="C86" s="43"/>
      <c r="D86" s="43"/>
    </row>
    <row r="87" spans="1:4" s="4" customFormat="1" ht="16.5" hidden="1" thickBot="1" x14ac:dyDescent="0.3">
      <c r="A87" s="44" t="s">
        <v>307</v>
      </c>
      <c r="B87" s="46"/>
      <c r="C87" s="43"/>
      <c r="D87" s="43"/>
    </row>
    <row r="88" spans="1:4" s="4" customFormat="1" ht="16.5" hidden="1" thickBot="1" x14ac:dyDescent="0.3">
      <c r="A88" s="45" t="s">
        <v>308</v>
      </c>
      <c r="B88" s="46"/>
      <c r="C88" s="43"/>
      <c r="D88" s="43"/>
    </row>
    <row r="89" spans="1:4" s="4" customFormat="1" hidden="1" x14ac:dyDescent="0.25">
      <c r="A89" s="47"/>
      <c r="B89" s="48"/>
      <c r="C89" s="43"/>
      <c r="D89" s="43"/>
    </row>
    <row r="90" spans="1:4" x14ac:dyDescent="0.25">
      <c r="A90" s="49"/>
    </row>
    <row r="91" spans="1:4" x14ac:dyDescent="0.25">
      <c r="A91" s="267" t="s">
        <v>540</v>
      </c>
      <c r="B91" s="267"/>
    </row>
    <row r="92" spans="1:4" x14ac:dyDescent="0.25">
      <c r="A92" s="49"/>
      <c r="B92" s="51"/>
    </row>
    <row r="93" spans="1:4" x14ac:dyDescent="0.25">
      <c r="A93" s="268"/>
      <c r="B93" s="268"/>
      <c r="C93" s="51"/>
    </row>
  </sheetData>
  <autoFilter ref="A32:B88" xr:uid="{00000000-0009-0000-0000-000012000000}">
    <filterColumn colId="1">
      <filters>
        <filter val="103 575,84"/>
        <filter val="115 652,27"/>
        <filter val="126 342,27"/>
        <filter val="13 750,35"/>
        <filter val="149 273,54"/>
        <filter val="15 005,19"/>
        <filter val="17 170,10"/>
        <filter val="2 046,44"/>
        <filter val="21 738,87"/>
        <filter val="22 079,23"/>
        <filter val="22 350,74"/>
        <filter val="233 474,86"/>
        <filter val="32,34"/>
        <filter val="39 678,78"/>
        <filter val="4 200,00"/>
        <filter val="4 580,96"/>
        <filter val="45 625,71"/>
        <filter val="46 528,76"/>
        <filter val="5 623,25"/>
        <filter val="5 672,10"/>
        <filter val="59 993,54"/>
        <filter val="6 100,00"/>
        <filter val="6 127,14"/>
        <filter val="63 274,17"/>
        <filter val="7 654,13"/>
        <filter val="724 628,85"/>
        <filter val="746 367,72"/>
        <filter val="8 409,04"/>
        <filter val="8 541,29"/>
        <filter val="80 801,96"/>
        <filter val="89 543,55"/>
        <filter val="895 641,26"/>
        <filter val="-902 537,28"/>
      </filters>
    </filterColumn>
  </autoFilter>
  <mergeCells count="9">
    <mergeCell ref="D8:D9"/>
    <mergeCell ref="A91:B91"/>
    <mergeCell ref="A93:B93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  <pageSetUpPr fitToPage="1"/>
  </sheetPr>
  <dimension ref="A1:Y221"/>
  <sheetViews>
    <sheetView workbookViewId="0">
      <selection activeCell="D33" sqref="D33"/>
    </sheetView>
  </sheetViews>
  <sheetFormatPr defaultRowHeight="12.75" x14ac:dyDescent="0.2"/>
  <cols>
    <col min="1" max="12" width="2" customWidth="1"/>
    <col min="14" max="14" width="29.5703125" customWidth="1"/>
    <col min="19" max="20" width="20.85546875" customWidth="1"/>
    <col min="21" max="22" width="2.140625" customWidth="1"/>
    <col min="23" max="23" width="26.42578125" customWidth="1"/>
    <col min="24" max="25" width="16" customWidth="1"/>
  </cols>
  <sheetData>
    <row r="1" spans="13:25" x14ac:dyDescent="0.2">
      <c r="M1" s="2"/>
      <c r="N1" s="2" t="s">
        <v>0</v>
      </c>
      <c r="O1" s="180" t="s">
        <v>534</v>
      </c>
      <c r="P1" s="2" t="s">
        <v>223</v>
      </c>
      <c r="Q1" s="2" t="s">
        <v>223</v>
      </c>
      <c r="S1">
        <v>2</v>
      </c>
      <c r="T1" s="181" t="s">
        <v>517</v>
      </c>
    </row>
    <row r="2" spans="13:25" x14ac:dyDescent="0.2">
      <c r="M2" s="2">
        <v>1</v>
      </c>
      <c r="N2" s="2" t="s">
        <v>2</v>
      </c>
      <c r="O2" s="2">
        <v>33920.559999999998</v>
      </c>
      <c r="P2" s="2"/>
      <c r="Q2" s="2"/>
      <c r="S2" t="s">
        <v>2</v>
      </c>
      <c r="T2">
        <v>-44045.2</v>
      </c>
    </row>
    <row r="3" spans="13:25" x14ac:dyDescent="0.2">
      <c r="M3" s="2">
        <v>2</v>
      </c>
      <c r="N3" s="2" t="s">
        <v>3</v>
      </c>
      <c r="O3" s="2"/>
      <c r="P3" s="2"/>
      <c r="Q3" s="2"/>
      <c r="S3" t="s">
        <v>3</v>
      </c>
      <c r="T3">
        <v>35053.72</v>
      </c>
      <c r="W3" t="s">
        <v>549</v>
      </c>
      <c r="X3">
        <v>298448.82</v>
      </c>
      <c r="Y3">
        <v>285632.84999999998</v>
      </c>
    </row>
    <row r="4" spans="13:25" x14ac:dyDescent="0.2">
      <c r="M4" s="2">
        <v>3</v>
      </c>
      <c r="N4" s="2" t="s">
        <v>4</v>
      </c>
      <c r="O4" s="2"/>
      <c r="P4" s="2"/>
      <c r="Q4" s="2"/>
      <c r="S4" t="s">
        <v>4</v>
      </c>
      <c r="T4">
        <v>481277.43</v>
      </c>
      <c r="W4" t="s">
        <v>550</v>
      </c>
      <c r="X4">
        <v>343591.8</v>
      </c>
      <c r="Y4">
        <v>324917.26</v>
      </c>
    </row>
    <row r="5" spans="13:25" x14ac:dyDescent="0.2">
      <c r="M5" s="2">
        <v>4</v>
      </c>
      <c r="N5" s="2" t="s">
        <v>19</v>
      </c>
      <c r="O5" s="2"/>
      <c r="P5" s="2"/>
      <c r="Q5" s="2"/>
      <c r="S5" t="s">
        <v>5</v>
      </c>
      <c r="T5">
        <v>-463369.00089299073</v>
      </c>
      <c r="W5" t="s">
        <v>551</v>
      </c>
      <c r="X5">
        <v>485363.88</v>
      </c>
      <c r="Y5">
        <v>502678.25</v>
      </c>
    </row>
    <row r="6" spans="13:25" x14ac:dyDescent="0.2">
      <c r="M6" s="2">
        <v>5</v>
      </c>
      <c r="N6" s="2" t="s">
        <v>20</v>
      </c>
      <c r="O6" s="2"/>
      <c r="P6" s="2"/>
      <c r="Q6" s="2"/>
      <c r="S6" t="s">
        <v>18</v>
      </c>
      <c r="T6">
        <v>-127853.61238641897</v>
      </c>
      <c r="W6" t="s">
        <v>552</v>
      </c>
      <c r="X6">
        <v>156553.16</v>
      </c>
      <c r="Y6">
        <v>74052.460000000006</v>
      </c>
    </row>
    <row r="7" spans="13:25" x14ac:dyDescent="0.2">
      <c r="M7" s="2">
        <v>6</v>
      </c>
      <c r="N7" s="2" t="s">
        <v>21</v>
      </c>
      <c r="O7" s="2"/>
      <c r="P7" s="2"/>
      <c r="Q7" s="2"/>
      <c r="S7" t="s">
        <v>19</v>
      </c>
      <c r="T7">
        <v>-342540.9</v>
      </c>
      <c r="W7" t="s">
        <v>553</v>
      </c>
      <c r="X7">
        <v>69593.600000000006</v>
      </c>
      <c r="Y7">
        <v>60019.85</v>
      </c>
    </row>
    <row r="8" spans="13:25" x14ac:dyDescent="0.2">
      <c r="M8" s="2">
        <v>7</v>
      </c>
      <c r="N8" s="2" t="s">
        <v>23</v>
      </c>
      <c r="O8" s="2"/>
      <c r="P8" s="2"/>
      <c r="Q8" s="2"/>
      <c r="S8" t="s">
        <v>20</v>
      </c>
      <c r="T8">
        <v>3352010.6855650614</v>
      </c>
      <c r="W8" t="s">
        <v>554</v>
      </c>
      <c r="X8">
        <v>24714.560000000001</v>
      </c>
      <c r="Y8">
        <v>24714.560000000001</v>
      </c>
    </row>
    <row r="9" spans="13:25" x14ac:dyDescent="0.2">
      <c r="M9" s="2">
        <v>8</v>
      </c>
      <c r="N9" s="2" t="s">
        <v>24</v>
      </c>
      <c r="O9" s="2"/>
      <c r="P9" s="2"/>
      <c r="Q9" s="2"/>
      <c r="S9" t="s">
        <v>21</v>
      </c>
      <c r="T9">
        <v>-826714.27</v>
      </c>
      <c r="W9" t="s">
        <v>555</v>
      </c>
      <c r="X9">
        <v>60045.279999999999</v>
      </c>
      <c r="Y9">
        <v>52253.919999999998</v>
      </c>
    </row>
    <row r="10" spans="13:25" x14ac:dyDescent="0.2">
      <c r="M10" s="2">
        <v>9</v>
      </c>
      <c r="N10" s="2" t="s">
        <v>26</v>
      </c>
      <c r="O10" s="2"/>
      <c r="P10" s="2"/>
      <c r="Q10" s="2"/>
      <c r="S10" t="s">
        <v>23</v>
      </c>
      <c r="T10">
        <v>-1090188.01</v>
      </c>
      <c r="W10" t="s">
        <v>556</v>
      </c>
      <c r="X10">
        <v>21617.439999999999</v>
      </c>
      <c r="Y10">
        <v>21186.74</v>
      </c>
    </row>
    <row r="11" spans="13:25" x14ac:dyDescent="0.2">
      <c r="M11" s="2">
        <v>10</v>
      </c>
      <c r="N11" s="2" t="s">
        <v>28</v>
      </c>
      <c r="O11" s="2"/>
      <c r="P11" s="2"/>
      <c r="Q11" s="2"/>
      <c r="S11" t="s">
        <v>24</v>
      </c>
      <c r="T11">
        <v>-894526.52</v>
      </c>
      <c r="W11" t="s">
        <v>557</v>
      </c>
      <c r="X11">
        <v>31041.46</v>
      </c>
      <c r="Y11">
        <v>29130.400000000001</v>
      </c>
    </row>
    <row r="12" spans="13:25" x14ac:dyDescent="0.2">
      <c r="M12" s="2">
        <v>11</v>
      </c>
      <c r="N12" s="2" t="s">
        <v>29</v>
      </c>
      <c r="O12" s="2"/>
      <c r="P12" s="2"/>
      <c r="Q12" s="2"/>
      <c r="S12" t="s">
        <v>26</v>
      </c>
      <c r="T12">
        <v>-744046.22</v>
      </c>
      <c r="W12" t="s">
        <v>558</v>
      </c>
      <c r="X12">
        <v>22288.32</v>
      </c>
      <c r="Y12">
        <v>16737.98</v>
      </c>
    </row>
    <row r="13" spans="13:25" x14ac:dyDescent="0.2">
      <c r="M13" s="2">
        <v>12</v>
      </c>
      <c r="N13" s="2" t="s">
        <v>30</v>
      </c>
      <c r="O13" s="2"/>
      <c r="P13" s="2"/>
      <c r="Q13" s="2"/>
      <c r="S13" t="s">
        <v>27</v>
      </c>
      <c r="T13">
        <v>-279058.85856726754</v>
      </c>
      <c r="W13" t="s">
        <v>559</v>
      </c>
      <c r="X13">
        <v>44108.32</v>
      </c>
      <c r="Y13">
        <v>38273.360000000001</v>
      </c>
    </row>
    <row r="14" spans="13:25" x14ac:dyDescent="0.2">
      <c r="M14" s="2">
        <v>13</v>
      </c>
      <c r="N14" s="2" t="s">
        <v>32</v>
      </c>
      <c r="O14" s="2"/>
      <c r="P14" s="2"/>
      <c r="Q14" s="2"/>
      <c r="S14" t="s">
        <v>28</v>
      </c>
      <c r="T14">
        <v>-1075857.1200000001</v>
      </c>
      <c r="W14" t="s">
        <v>560</v>
      </c>
      <c r="X14">
        <v>72290.77</v>
      </c>
      <c r="Y14">
        <v>62750.1</v>
      </c>
    </row>
    <row r="15" spans="13:25" x14ac:dyDescent="0.2">
      <c r="M15" s="2">
        <v>14</v>
      </c>
      <c r="N15" s="2" t="s">
        <v>33</v>
      </c>
      <c r="O15" s="2"/>
      <c r="P15" s="2"/>
      <c r="Q15" s="2"/>
      <c r="S15" t="s">
        <v>29</v>
      </c>
      <c r="T15">
        <v>-621404.9</v>
      </c>
      <c r="W15" t="s">
        <v>561</v>
      </c>
      <c r="X15">
        <v>35942.9</v>
      </c>
      <c r="Y15">
        <v>31380.160000000003</v>
      </c>
    </row>
    <row r="16" spans="13:25" x14ac:dyDescent="0.2">
      <c r="M16" s="2">
        <v>15</v>
      </c>
      <c r="N16" s="2" t="s">
        <v>34</v>
      </c>
      <c r="O16" s="2"/>
      <c r="P16" s="2"/>
      <c r="Q16" s="2"/>
      <c r="S16" t="s">
        <v>30</v>
      </c>
      <c r="T16">
        <v>-208131.06</v>
      </c>
      <c r="W16" t="s">
        <v>562</v>
      </c>
      <c r="X16">
        <v>62948.24</v>
      </c>
      <c r="Y16">
        <v>56188.78</v>
      </c>
    </row>
    <row r="17" spans="1:25" x14ac:dyDescent="0.2">
      <c r="M17" s="2">
        <v>16</v>
      </c>
      <c r="N17" s="2" t="s">
        <v>35</v>
      </c>
      <c r="O17" s="2"/>
      <c r="P17" s="2"/>
      <c r="Q17" s="2"/>
      <c r="S17" t="s">
        <v>31</v>
      </c>
      <c r="T17">
        <v>-864408.25874220463</v>
      </c>
      <c r="W17" t="s">
        <v>563</v>
      </c>
      <c r="X17">
        <v>31899.599999999999</v>
      </c>
      <c r="Y17">
        <v>27136.61</v>
      </c>
    </row>
    <row r="18" spans="1:25" x14ac:dyDescent="0.2">
      <c r="M18" s="2">
        <v>17</v>
      </c>
      <c r="N18" s="2" t="s">
        <v>36</v>
      </c>
      <c r="O18" s="2"/>
      <c r="P18" s="2"/>
      <c r="Q18" s="2"/>
      <c r="S18" t="s">
        <v>32</v>
      </c>
      <c r="T18">
        <v>653423.11</v>
      </c>
      <c r="W18" t="s">
        <v>564</v>
      </c>
      <c r="X18">
        <v>144540.38</v>
      </c>
      <c r="Y18">
        <v>130940.05</v>
      </c>
    </row>
    <row r="19" spans="1:25" x14ac:dyDescent="0.2">
      <c r="M19" s="2">
        <v>18</v>
      </c>
      <c r="N19" s="2" t="s">
        <v>42</v>
      </c>
      <c r="O19" s="2"/>
      <c r="P19" s="2"/>
      <c r="Q19" s="2"/>
      <c r="S19" t="s">
        <v>33</v>
      </c>
      <c r="T19">
        <v>-474061.69</v>
      </c>
      <c r="W19" t="s">
        <v>565</v>
      </c>
      <c r="X19">
        <v>2342665.5</v>
      </c>
      <c r="Y19">
        <v>2270483.9499999997</v>
      </c>
    </row>
    <row r="20" spans="1:25" x14ac:dyDescent="0.2">
      <c r="M20" s="2">
        <v>19</v>
      </c>
      <c r="N20" s="2" t="s">
        <v>44</v>
      </c>
      <c r="O20" s="2"/>
      <c r="P20" s="2"/>
      <c r="Q20" s="2"/>
      <c r="S20" t="s">
        <v>34</v>
      </c>
      <c r="T20">
        <v>-1015579.49</v>
      </c>
      <c r="W20" t="s">
        <v>566</v>
      </c>
      <c r="X20">
        <v>324557.04000000004</v>
      </c>
      <c r="Y20">
        <v>312994.87</v>
      </c>
    </row>
    <row r="21" spans="1:25" x14ac:dyDescent="0.2">
      <c r="M21" s="2">
        <v>20</v>
      </c>
      <c r="N21" s="2" t="s">
        <v>57</v>
      </c>
      <c r="O21" s="2"/>
      <c r="P21" s="2"/>
      <c r="Q21" s="2"/>
      <c r="S21" t="s">
        <v>35</v>
      </c>
      <c r="T21">
        <v>-569747.93000000005</v>
      </c>
      <c r="W21" t="s">
        <v>567</v>
      </c>
      <c r="X21">
        <v>1671980.6400000001</v>
      </c>
      <c r="Y21">
        <v>1638588.59</v>
      </c>
    </row>
    <row r="22" spans="1:25" x14ac:dyDescent="0.2">
      <c r="M22" s="2">
        <v>21</v>
      </c>
      <c r="N22" s="2" t="s">
        <v>59</v>
      </c>
      <c r="O22" s="2"/>
      <c r="P22" s="2"/>
      <c r="Q22" s="2"/>
      <c r="S22" t="s">
        <v>36</v>
      </c>
      <c r="T22">
        <v>-1135029.23</v>
      </c>
      <c r="W22" t="s">
        <v>568</v>
      </c>
      <c r="X22">
        <v>292743.58</v>
      </c>
      <c r="Y22">
        <v>302523.02</v>
      </c>
    </row>
    <row r="23" spans="1:25" x14ac:dyDescent="0.2">
      <c r="M23" s="2">
        <v>22</v>
      </c>
      <c r="N23" s="2" t="s">
        <v>77</v>
      </c>
      <c r="O23" s="2"/>
      <c r="P23" s="2"/>
      <c r="Q23" s="2"/>
      <c r="S23" t="s">
        <v>38</v>
      </c>
      <c r="T23">
        <v>-531122.32771860028</v>
      </c>
      <c r="W23" t="s">
        <v>569</v>
      </c>
      <c r="X23">
        <v>64949.590000000004</v>
      </c>
      <c r="Y23">
        <v>63611.62</v>
      </c>
    </row>
    <row r="24" spans="1:25" x14ac:dyDescent="0.2">
      <c r="A24" s="182"/>
      <c r="B24" s="182"/>
      <c r="M24" s="2">
        <v>23</v>
      </c>
      <c r="N24" s="2" t="s">
        <v>78</v>
      </c>
      <c r="O24" s="2"/>
      <c r="P24" s="2"/>
      <c r="Q24" s="2"/>
      <c r="S24" t="s">
        <v>39</v>
      </c>
      <c r="T24">
        <v>-499838.93753722531</v>
      </c>
      <c r="W24" t="s">
        <v>570</v>
      </c>
      <c r="X24">
        <v>446208.48</v>
      </c>
      <c r="Y24">
        <v>459383.01</v>
      </c>
    </row>
    <row r="25" spans="1:25" x14ac:dyDescent="0.2">
      <c r="A25" s="182"/>
      <c r="B25" s="182"/>
      <c r="M25" s="2">
        <v>24</v>
      </c>
      <c r="N25" s="2" t="s">
        <v>79</v>
      </c>
      <c r="O25" s="2"/>
      <c r="P25" s="2"/>
      <c r="Q25" s="2"/>
      <c r="S25" t="s">
        <v>42</v>
      </c>
      <c r="T25">
        <v>123055.34</v>
      </c>
      <c r="W25" t="s">
        <v>571</v>
      </c>
      <c r="X25">
        <v>807657.88000000012</v>
      </c>
      <c r="Y25">
        <v>780444.31</v>
      </c>
    </row>
    <row r="26" spans="1:25" x14ac:dyDescent="0.2">
      <c r="M26" s="2">
        <v>25</v>
      </c>
      <c r="N26" s="2" t="s">
        <v>80</v>
      </c>
      <c r="O26" s="2"/>
      <c r="P26" s="2"/>
      <c r="Q26" s="2"/>
      <c r="S26" t="s">
        <v>44</v>
      </c>
      <c r="T26">
        <v>-1116645.2</v>
      </c>
      <c r="W26" t="s">
        <v>572</v>
      </c>
      <c r="X26">
        <v>838791.79999999993</v>
      </c>
      <c r="Y26">
        <v>793476.95</v>
      </c>
    </row>
    <row r="27" spans="1:25" x14ac:dyDescent="0.2">
      <c r="M27" s="2">
        <v>26</v>
      </c>
      <c r="N27" s="2" t="s">
        <v>81</v>
      </c>
      <c r="O27" s="2"/>
      <c r="P27" s="2"/>
      <c r="Q27" s="2"/>
      <c r="S27" t="s">
        <v>45</v>
      </c>
      <c r="T27">
        <v>-353554.05855973565</v>
      </c>
      <c r="W27" t="s">
        <v>573</v>
      </c>
      <c r="X27">
        <v>648502.88</v>
      </c>
      <c r="Y27">
        <v>642366.4</v>
      </c>
    </row>
    <row r="28" spans="1:25" x14ac:dyDescent="0.2">
      <c r="M28" s="2">
        <v>27</v>
      </c>
      <c r="N28" s="2" t="s">
        <v>82</v>
      </c>
      <c r="O28" s="2"/>
      <c r="P28" s="2"/>
      <c r="Q28" s="2"/>
      <c r="S28" t="s">
        <v>46</v>
      </c>
      <c r="T28">
        <v>-21459.589931140974</v>
      </c>
      <c r="W28" t="s">
        <v>574</v>
      </c>
      <c r="X28">
        <v>253213.26</v>
      </c>
      <c r="Y28">
        <v>246603.74</v>
      </c>
    </row>
    <row r="29" spans="1:25" x14ac:dyDescent="0.2">
      <c r="M29" s="2">
        <v>28</v>
      </c>
      <c r="N29" s="2" t="s">
        <v>83</v>
      </c>
      <c r="O29" s="2"/>
      <c r="P29" s="2"/>
      <c r="Q29" s="2"/>
      <c r="S29" t="s">
        <v>51</v>
      </c>
      <c r="T29">
        <v>-779769.13736000005</v>
      </c>
      <c r="W29" t="s">
        <v>575</v>
      </c>
      <c r="X29">
        <v>320399.64</v>
      </c>
      <c r="Y29">
        <v>313370.06999999995</v>
      </c>
    </row>
    <row r="30" spans="1:25" x14ac:dyDescent="0.2">
      <c r="M30" s="2">
        <v>29</v>
      </c>
      <c r="N30" s="2" t="s">
        <v>84</v>
      </c>
      <c r="O30" s="2"/>
      <c r="P30" s="2"/>
      <c r="Q30" s="2"/>
      <c r="S30" t="s">
        <v>52</v>
      </c>
      <c r="T30">
        <v>-454224.68143194669</v>
      </c>
      <c r="W30" t="s">
        <v>576</v>
      </c>
      <c r="X30">
        <v>319208.76</v>
      </c>
      <c r="Y30">
        <v>342067.81</v>
      </c>
    </row>
    <row r="31" spans="1:25" x14ac:dyDescent="0.2">
      <c r="M31" s="2">
        <v>30</v>
      </c>
      <c r="N31" s="2" t="s">
        <v>85</v>
      </c>
      <c r="O31" s="2"/>
      <c r="P31" s="2"/>
      <c r="Q31" s="2"/>
      <c r="S31" t="s">
        <v>54</v>
      </c>
      <c r="T31">
        <v>-1222260.9060933986</v>
      </c>
      <c r="W31" t="s">
        <v>577</v>
      </c>
      <c r="X31">
        <v>205429.9</v>
      </c>
      <c r="Y31">
        <v>201525.01</v>
      </c>
    </row>
    <row r="32" spans="1:25" x14ac:dyDescent="0.2">
      <c r="M32" s="2">
        <v>31</v>
      </c>
      <c r="N32" s="2" t="s">
        <v>86</v>
      </c>
      <c r="O32" s="2"/>
      <c r="P32" s="2"/>
      <c r="Q32" s="2"/>
      <c r="S32" t="s">
        <v>55</v>
      </c>
      <c r="T32">
        <v>-435461.31541984255</v>
      </c>
      <c r="W32" t="s">
        <v>578</v>
      </c>
      <c r="X32">
        <v>285854.82</v>
      </c>
      <c r="Y32">
        <v>291252.44</v>
      </c>
    </row>
    <row r="33" spans="13:25" x14ac:dyDescent="0.2">
      <c r="M33" s="2">
        <v>32</v>
      </c>
      <c r="N33" s="2" t="s">
        <v>87</v>
      </c>
      <c r="O33" s="2"/>
      <c r="P33" s="2"/>
      <c r="Q33" s="2"/>
      <c r="S33" t="s">
        <v>56</v>
      </c>
      <c r="T33">
        <v>162995.04530169233</v>
      </c>
      <c r="W33" t="s">
        <v>579</v>
      </c>
      <c r="X33">
        <v>723919.44</v>
      </c>
      <c r="Y33">
        <v>676589.91</v>
      </c>
    </row>
    <row r="34" spans="13:25" x14ac:dyDescent="0.2">
      <c r="M34" s="2">
        <v>33</v>
      </c>
      <c r="N34" s="2" t="s">
        <v>91</v>
      </c>
      <c r="O34" s="2"/>
      <c r="P34" s="2"/>
      <c r="Q34" s="2"/>
      <c r="S34" t="s">
        <v>57</v>
      </c>
      <c r="T34">
        <v>-697119.92</v>
      </c>
      <c r="W34" t="s">
        <v>580</v>
      </c>
      <c r="X34">
        <v>791267.72</v>
      </c>
      <c r="Y34">
        <v>800242.17999999993</v>
      </c>
    </row>
    <row r="35" spans="13:25" x14ac:dyDescent="0.2">
      <c r="M35" s="2">
        <v>34</v>
      </c>
      <c r="N35" s="2" t="s">
        <v>92</v>
      </c>
      <c r="O35" s="2"/>
      <c r="P35" s="2"/>
      <c r="Q35" s="2"/>
      <c r="S35" t="s">
        <v>59</v>
      </c>
      <c r="T35">
        <v>100060.05</v>
      </c>
      <c r="W35" t="s">
        <v>581</v>
      </c>
      <c r="X35">
        <v>680362.26</v>
      </c>
      <c r="Y35">
        <v>630731.26</v>
      </c>
    </row>
    <row r="36" spans="13:25" x14ac:dyDescent="0.2">
      <c r="M36" s="2">
        <v>35</v>
      </c>
      <c r="N36" s="2" t="s">
        <v>94</v>
      </c>
      <c r="O36" s="2"/>
      <c r="P36" s="2"/>
      <c r="Q36" s="2"/>
      <c r="S36" t="s">
        <v>60</v>
      </c>
      <c r="T36">
        <v>-214941.83744341118</v>
      </c>
      <c r="W36" t="s">
        <v>582</v>
      </c>
      <c r="X36">
        <v>555697.6</v>
      </c>
      <c r="Y36">
        <v>537906.07999999996</v>
      </c>
    </row>
    <row r="37" spans="13:25" x14ac:dyDescent="0.2">
      <c r="M37" s="2">
        <v>36</v>
      </c>
      <c r="N37" s="2" t="s">
        <v>100</v>
      </c>
      <c r="O37" s="2"/>
      <c r="P37" s="2"/>
      <c r="Q37" s="2"/>
      <c r="S37" t="s">
        <v>61</v>
      </c>
      <c r="T37">
        <v>-126141.37226138728</v>
      </c>
      <c r="W37" t="s">
        <v>583</v>
      </c>
      <c r="X37">
        <v>630025.25999999989</v>
      </c>
      <c r="Y37">
        <v>638320.14</v>
      </c>
    </row>
    <row r="38" spans="13:25" x14ac:dyDescent="0.2">
      <c r="M38" s="2">
        <v>37</v>
      </c>
      <c r="N38" s="2" t="s">
        <v>106</v>
      </c>
      <c r="O38" s="2"/>
      <c r="P38" s="2"/>
      <c r="Q38" s="2"/>
      <c r="S38" t="s">
        <v>63</v>
      </c>
      <c r="T38">
        <v>-11141.291466976099</v>
      </c>
      <c r="W38" t="s">
        <v>495</v>
      </c>
      <c r="X38">
        <v>121731.03</v>
      </c>
      <c r="Y38">
        <v>82348.399999999994</v>
      </c>
    </row>
    <row r="39" spans="13:25" x14ac:dyDescent="0.2">
      <c r="M39" s="2">
        <v>38</v>
      </c>
      <c r="N39" s="2" t="s">
        <v>112</v>
      </c>
      <c r="O39" s="2"/>
      <c r="P39" s="2"/>
      <c r="Q39" s="2"/>
      <c r="S39" t="s">
        <v>64</v>
      </c>
      <c r="T39">
        <v>1824.8116494415008</v>
      </c>
      <c r="W39" t="s">
        <v>584</v>
      </c>
      <c r="X39">
        <v>157059.04</v>
      </c>
      <c r="Y39">
        <v>156323.91</v>
      </c>
    </row>
    <row r="40" spans="13:25" x14ac:dyDescent="0.2">
      <c r="M40" s="2">
        <v>39</v>
      </c>
      <c r="N40" s="2" t="s">
        <v>113</v>
      </c>
      <c r="O40" s="2"/>
      <c r="P40" s="2"/>
      <c r="Q40" s="2"/>
      <c r="S40" t="s">
        <v>65</v>
      </c>
      <c r="T40">
        <v>-2677.5136327080891</v>
      </c>
      <c r="W40" t="s">
        <v>585</v>
      </c>
      <c r="X40">
        <v>129759.91</v>
      </c>
      <c r="Y40">
        <v>131620.43</v>
      </c>
    </row>
    <row r="41" spans="13:25" x14ac:dyDescent="0.2">
      <c r="M41" s="2">
        <v>40</v>
      </c>
      <c r="N41" s="2" t="s">
        <v>114</v>
      </c>
      <c r="O41" s="2"/>
      <c r="P41" s="2"/>
      <c r="Q41" s="2"/>
      <c r="S41" t="s">
        <v>66</v>
      </c>
      <c r="T41">
        <v>80789.227427104386</v>
      </c>
      <c r="W41" t="s">
        <v>586</v>
      </c>
      <c r="X41">
        <v>823198.74</v>
      </c>
      <c r="Y41">
        <v>757816.87000000011</v>
      </c>
    </row>
    <row r="42" spans="13:25" x14ac:dyDescent="0.2">
      <c r="M42" s="2">
        <v>41</v>
      </c>
      <c r="N42" s="2" t="s">
        <v>115</v>
      </c>
      <c r="O42" s="2"/>
      <c r="P42" s="2"/>
      <c r="Q42" s="2"/>
      <c r="S42" t="s">
        <v>77</v>
      </c>
      <c r="T42">
        <v>-1680557.45</v>
      </c>
      <c r="W42" t="s">
        <v>496</v>
      </c>
      <c r="X42">
        <v>92659.59</v>
      </c>
      <c r="Y42">
        <v>82993.820000000007</v>
      </c>
    </row>
    <row r="43" spans="13:25" x14ac:dyDescent="0.2">
      <c r="M43" s="2">
        <v>42</v>
      </c>
      <c r="N43" s="2" t="s">
        <v>117</v>
      </c>
      <c r="O43" s="2"/>
      <c r="P43" s="2"/>
      <c r="Q43" s="2"/>
      <c r="S43" t="s">
        <v>78</v>
      </c>
      <c r="T43">
        <v>313019.05</v>
      </c>
      <c r="W43" t="s">
        <v>587</v>
      </c>
      <c r="X43">
        <v>275791.90000000002</v>
      </c>
      <c r="Y43">
        <v>248781.99000000002</v>
      </c>
    </row>
    <row r="44" spans="13:25" x14ac:dyDescent="0.2">
      <c r="M44" s="2">
        <v>43</v>
      </c>
      <c r="N44" s="2" t="s">
        <v>118</v>
      </c>
      <c r="O44" s="2"/>
      <c r="P44" s="2"/>
      <c r="Q44" s="2"/>
      <c r="S44" t="s">
        <v>79</v>
      </c>
      <c r="T44">
        <v>-257416.48</v>
      </c>
      <c r="W44" t="s">
        <v>588</v>
      </c>
      <c r="X44">
        <v>646933.82999999996</v>
      </c>
      <c r="Y44">
        <v>650307.49</v>
      </c>
    </row>
    <row r="45" spans="13:25" x14ac:dyDescent="0.2">
      <c r="M45" s="2">
        <v>44</v>
      </c>
      <c r="N45" s="2" t="s">
        <v>119</v>
      </c>
      <c r="O45" s="2"/>
      <c r="P45" s="2"/>
      <c r="Q45" s="2"/>
      <c r="S45" t="s">
        <v>80</v>
      </c>
      <c r="T45">
        <v>-49574.95</v>
      </c>
      <c r="W45" t="s">
        <v>589</v>
      </c>
      <c r="X45">
        <v>549396.12</v>
      </c>
      <c r="Y45">
        <v>569909.94999999995</v>
      </c>
    </row>
    <row r="46" spans="13:25" x14ac:dyDescent="0.2">
      <c r="M46" s="2">
        <v>45</v>
      </c>
      <c r="N46" s="2" t="s">
        <v>120</v>
      </c>
      <c r="O46" s="2"/>
      <c r="P46" s="2"/>
      <c r="Q46" s="2"/>
      <c r="S46" t="s">
        <v>81</v>
      </c>
      <c r="T46">
        <v>-359857.99</v>
      </c>
      <c r="W46" t="s">
        <v>590</v>
      </c>
      <c r="X46">
        <v>105261.2</v>
      </c>
      <c r="Y46">
        <v>101734.01</v>
      </c>
    </row>
    <row r="47" spans="13:25" x14ac:dyDescent="0.2">
      <c r="M47" s="2">
        <v>46</v>
      </c>
      <c r="N47" s="2" t="s">
        <v>121</v>
      </c>
      <c r="O47" s="2"/>
      <c r="P47" s="2"/>
      <c r="Q47" s="2"/>
      <c r="S47" t="s">
        <v>82</v>
      </c>
      <c r="T47">
        <v>-743441.91198596067</v>
      </c>
      <c r="W47" t="s">
        <v>591</v>
      </c>
      <c r="X47">
        <v>356468.01</v>
      </c>
      <c r="Y47">
        <v>334662.58</v>
      </c>
    </row>
    <row r="48" spans="13:25" x14ac:dyDescent="0.2">
      <c r="M48" s="2">
        <v>47</v>
      </c>
      <c r="N48" s="2" t="s">
        <v>122</v>
      </c>
      <c r="O48" s="2"/>
      <c r="P48" s="2"/>
      <c r="Q48" s="2"/>
      <c r="S48" t="s">
        <v>83</v>
      </c>
      <c r="T48">
        <v>-1425739.9</v>
      </c>
      <c r="W48" t="s">
        <v>592</v>
      </c>
      <c r="X48">
        <v>467808</v>
      </c>
      <c r="Y48">
        <v>439690</v>
      </c>
    </row>
    <row r="49" spans="13:25" x14ac:dyDescent="0.2">
      <c r="M49" s="2">
        <v>48</v>
      </c>
      <c r="N49" s="2" t="s">
        <v>123</v>
      </c>
      <c r="O49" s="2"/>
      <c r="P49" s="2"/>
      <c r="Q49" s="2"/>
      <c r="S49" t="s">
        <v>84</v>
      </c>
      <c r="T49">
        <v>-214047.25</v>
      </c>
      <c r="W49" t="s">
        <v>497</v>
      </c>
      <c r="X49">
        <v>115599.24</v>
      </c>
      <c r="Y49">
        <v>106938.94</v>
      </c>
    </row>
    <row r="50" spans="13:25" x14ac:dyDescent="0.2">
      <c r="M50" s="2">
        <v>49</v>
      </c>
      <c r="N50" s="2" t="s">
        <v>124</v>
      </c>
      <c r="O50" s="2"/>
      <c r="P50" s="2"/>
      <c r="Q50" s="2"/>
      <c r="S50" t="s">
        <v>85</v>
      </c>
      <c r="T50">
        <v>-1632155.7991833785</v>
      </c>
      <c r="W50" t="s">
        <v>498</v>
      </c>
      <c r="X50">
        <v>54843.93</v>
      </c>
      <c r="Y50">
        <v>51357.31</v>
      </c>
    </row>
    <row r="51" spans="13:25" x14ac:dyDescent="0.2">
      <c r="M51" s="2">
        <v>50</v>
      </c>
      <c r="N51" s="2" t="s">
        <v>125</v>
      </c>
      <c r="O51" s="2"/>
      <c r="P51" s="2"/>
      <c r="Q51" s="2"/>
      <c r="S51" t="s">
        <v>86</v>
      </c>
      <c r="T51">
        <v>-1323258.890604509</v>
      </c>
      <c r="W51" t="s">
        <v>499</v>
      </c>
      <c r="X51">
        <v>72188.639999999999</v>
      </c>
      <c r="Y51">
        <v>59518.65</v>
      </c>
    </row>
    <row r="52" spans="13:25" x14ac:dyDescent="0.2">
      <c r="M52" s="2">
        <v>51</v>
      </c>
      <c r="N52" s="2" t="s">
        <v>126</v>
      </c>
      <c r="O52" s="2"/>
      <c r="P52" s="2"/>
      <c r="Q52" s="2"/>
      <c r="S52" t="s">
        <v>87</v>
      </c>
      <c r="T52">
        <v>-909005.02</v>
      </c>
      <c r="W52" t="s">
        <v>593</v>
      </c>
      <c r="X52">
        <v>104143.76</v>
      </c>
      <c r="Y52">
        <v>91450.96</v>
      </c>
    </row>
    <row r="53" spans="13:25" x14ac:dyDescent="0.2">
      <c r="M53" s="2">
        <v>52</v>
      </c>
      <c r="N53" s="2" t="s">
        <v>129</v>
      </c>
      <c r="O53" s="2"/>
      <c r="P53" s="2"/>
      <c r="Q53" s="2"/>
      <c r="S53" t="s">
        <v>91</v>
      </c>
      <c r="T53">
        <v>-560746.04</v>
      </c>
      <c r="W53" t="s">
        <v>594</v>
      </c>
      <c r="X53">
        <v>107507.4</v>
      </c>
      <c r="Y53">
        <v>96046.53</v>
      </c>
    </row>
    <row r="54" spans="13:25" x14ac:dyDescent="0.2">
      <c r="M54" s="2">
        <v>53</v>
      </c>
      <c r="N54" s="2" t="s">
        <v>130</v>
      </c>
      <c r="O54" s="2"/>
      <c r="P54" s="2"/>
      <c r="Q54" s="2"/>
      <c r="S54" t="s">
        <v>92</v>
      </c>
      <c r="T54">
        <v>-1380563.25</v>
      </c>
      <c r="W54" t="s">
        <v>500</v>
      </c>
      <c r="X54">
        <v>80873.64</v>
      </c>
      <c r="Y54">
        <v>76116.28</v>
      </c>
    </row>
    <row r="55" spans="13:25" x14ac:dyDescent="0.2">
      <c r="M55" s="2">
        <v>54</v>
      </c>
      <c r="N55" s="2" t="s">
        <v>131</v>
      </c>
      <c r="O55" s="2"/>
      <c r="P55" s="2"/>
      <c r="Q55" s="2"/>
      <c r="S55" t="s">
        <v>94</v>
      </c>
      <c r="T55">
        <v>-268861.08</v>
      </c>
      <c r="W55" t="s">
        <v>595</v>
      </c>
      <c r="X55">
        <v>96065.9</v>
      </c>
      <c r="Y55">
        <v>123769.37</v>
      </c>
    </row>
    <row r="56" spans="13:25" x14ac:dyDescent="0.2">
      <c r="M56" s="2">
        <v>55</v>
      </c>
      <c r="N56" s="2" t="s">
        <v>132</v>
      </c>
      <c r="O56" s="2"/>
      <c r="P56" s="2"/>
      <c r="Q56" s="2"/>
      <c r="S56" t="s">
        <v>95</v>
      </c>
      <c r="T56">
        <v>-319659.76488775574</v>
      </c>
      <c r="W56" t="s">
        <v>596</v>
      </c>
      <c r="X56">
        <v>98122.3</v>
      </c>
      <c r="Y56">
        <v>103451.95</v>
      </c>
    </row>
    <row r="57" spans="13:25" x14ac:dyDescent="0.2">
      <c r="M57" s="2">
        <v>56</v>
      </c>
      <c r="N57" s="2" t="s">
        <v>133</v>
      </c>
      <c r="O57" s="2"/>
      <c r="P57" s="2"/>
      <c r="Q57" s="2"/>
      <c r="S57" t="s">
        <v>97</v>
      </c>
      <c r="T57">
        <v>-272401.36364979134</v>
      </c>
      <c r="W57" t="s">
        <v>597</v>
      </c>
      <c r="X57">
        <v>313322.98</v>
      </c>
      <c r="Y57">
        <v>329783.55</v>
      </c>
    </row>
    <row r="58" spans="13:25" x14ac:dyDescent="0.2">
      <c r="M58" s="2">
        <v>57</v>
      </c>
      <c r="N58" s="2" t="s">
        <v>135</v>
      </c>
      <c r="O58" s="2"/>
      <c r="P58" s="2"/>
      <c r="Q58" s="2"/>
      <c r="S58" t="s">
        <v>98</v>
      </c>
      <c r="T58">
        <v>-410969.28247048514</v>
      </c>
      <c r="W58" t="s">
        <v>598</v>
      </c>
      <c r="X58">
        <v>379457.52</v>
      </c>
      <c r="Y58">
        <v>343815.06</v>
      </c>
    </row>
    <row r="59" spans="13:25" x14ac:dyDescent="0.2">
      <c r="M59" s="2">
        <v>58</v>
      </c>
      <c r="N59" s="2" t="s">
        <v>136</v>
      </c>
      <c r="O59" s="2"/>
      <c r="P59" s="2"/>
      <c r="Q59" s="2"/>
      <c r="S59" t="s">
        <v>100</v>
      </c>
      <c r="T59">
        <v>8273540.0199999996</v>
      </c>
      <c r="W59" t="s">
        <v>501</v>
      </c>
      <c r="X59">
        <v>91866.78</v>
      </c>
      <c r="Y59">
        <v>91854.2</v>
      </c>
    </row>
    <row r="60" spans="13:25" x14ac:dyDescent="0.2">
      <c r="M60" s="2">
        <v>59</v>
      </c>
      <c r="N60" s="2" t="s">
        <v>137</v>
      </c>
      <c r="O60" s="2"/>
      <c r="P60" s="2"/>
      <c r="Q60" s="2"/>
      <c r="S60" t="s">
        <v>103</v>
      </c>
      <c r="T60">
        <v>-484444.94</v>
      </c>
      <c r="W60" t="s">
        <v>599</v>
      </c>
      <c r="X60">
        <v>1161689.1199999999</v>
      </c>
      <c r="Y60">
        <v>1105999.3999999999</v>
      </c>
    </row>
    <row r="61" spans="13:25" x14ac:dyDescent="0.2">
      <c r="M61" s="2">
        <v>60</v>
      </c>
      <c r="N61" s="2" t="s">
        <v>138</v>
      </c>
      <c r="O61" s="2"/>
      <c r="P61" s="2"/>
      <c r="Q61" s="2"/>
      <c r="S61" t="s">
        <v>104</v>
      </c>
      <c r="T61">
        <v>-144173.69576292267</v>
      </c>
      <c r="W61" t="s">
        <v>600</v>
      </c>
      <c r="X61">
        <v>255655.26</v>
      </c>
      <c r="Y61">
        <v>227553.15</v>
      </c>
    </row>
    <row r="62" spans="13:25" x14ac:dyDescent="0.2">
      <c r="M62" s="2">
        <v>61</v>
      </c>
      <c r="N62" s="2" t="s">
        <v>139</v>
      </c>
      <c r="O62" s="2"/>
      <c r="P62" s="2"/>
      <c r="Q62" s="2"/>
      <c r="S62" t="s">
        <v>105</v>
      </c>
      <c r="T62">
        <v>-195627.76489757633</v>
      </c>
      <c r="W62" t="s">
        <v>601</v>
      </c>
      <c r="X62">
        <v>171270.2</v>
      </c>
      <c r="Y62">
        <v>218146.08</v>
      </c>
    </row>
    <row r="63" spans="13:25" x14ac:dyDescent="0.2">
      <c r="M63" s="2">
        <v>62</v>
      </c>
      <c r="N63" s="2" t="s">
        <v>140</v>
      </c>
      <c r="O63" s="2"/>
      <c r="P63" s="2"/>
      <c r="Q63" s="2"/>
      <c r="S63" t="s">
        <v>106</v>
      </c>
      <c r="T63">
        <v>-1105240.4099999999</v>
      </c>
      <c r="W63" t="s">
        <v>502</v>
      </c>
      <c r="X63">
        <v>88962.48</v>
      </c>
      <c r="Y63">
        <v>80761.03</v>
      </c>
    </row>
    <row r="64" spans="13:25" x14ac:dyDescent="0.2">
      <c r="M64" s="2">
        <v>63</v>
      </c>
      <c r="N64" s="2" t="s">
        <v>141</v>
      </c>
      <c r="O64" s="2"/>
      <c r="P64" s="2"/>
      <c r="Q64" s="2"/>
      <c r="S64" t="s">
        <v>109</v>
      </c>
      <c r="T64">
        <v>-236690.78978235432</v>
      </c>
      <c r="W64" t="s">
        <v>602</v>
      </c>
      <c r="X64">
        <v>22876.52</v>
      </c>
      <c r="Y64">
        <v>22835.69</v>
      </c>
    </row>
    <row r="65" spans="13:25" x14ac:dyDescent="0.2">
      <c r="M65" s="2">
        <v>64</v>
      </c>
      <c r="N65" s="2" t="s">
        <v>155</v>
      </c>
      <c r="O65" s="2"/>
      <c r="P65" s="2"/>
      <c r="Q65" s="2"/>
      <c r="S65" t="s">
        <v>112</v>
      </c>
      <c r="T65">
        <v>92721.17</v>
      </c>
      <c r="W65" t="s">
        <v>603</v>
      </c>
      <c r="X65">
        <v>32411.48</v>
      </c>
      <c r="Y65">
        <v>31092</v>
      </c>
    </row>
    <row r="66" spans="13:25" x14ac:dyDescent="0.2">
      <c r="M66" s="2">
        <v>65</v>
      </c>
      <c r="N66" s="2" t="s">
        <v>160</v>
      </c>
      <c r="O66" s="2"/>
      <c r="P66" s="2"/>
      <c r="Q66" s="2"/>
      <c r="S66" t="s">
        <v>113</v>
      </c>
      <c r="T66">
        <v>-1010279.47</v>
      </c>
      <c r="W66" t="s">
        <v>604</v>
      </c>
      <c r="X66">
        <v>23986.62</v>
      </c>
      <c r="Y66">
        <v>23885.75</v>
      </c>
    </row>
    <row r="67" spans="13:25" x14ac:dyDescent="0.2">
      <c r="M67" s="2">
        <v>66</v>
      </c>
      <c r="N67" s="2" t="s">
        <v>161</v>
      </c>
      <c r="O67" s="2"/>
      <c r="P67" s="2"/>
      <c r="Q67" s="2"/>
      <c r="S67" t="s">
        <v>114</v>
      </c>
      <c r="T67">
        <v>-1045811.29</v>
      </c>
      <c r="W67" t="s">
        <v>605</v>
      </c>
      <c r="X67">
        <v>46030.52</v>
      </c>
      <c r="Y67">
        <v>35740.339999999997</v>
      </c>
    </row>
    <row r="68" spans="13:25" x14ac:dyDescent="0.2">
      <c r="M68" s="2">
        <v>67</v>
      </c>
      <c r="N68" s="2" t="s">
        <v>163</v>
      </c>
      <c r="O68" s="2"/>
      <c r="P68" s="2"/>
      <c r="Q68" s="2"/>
      <c r="S68" t="s">
        <v>115</v>
      </c>
      <c r="T68">
        <v>185823.47</v>
      </c>
      <c r="W68" t="s">
        <v>606</v>
      </c>
      <c r="X68">
        <v>55044.959999999999</v>
      </c>
      <c r="Y68">
        <v>48751.61</v>
      </c>
    </row>
    <row r="69" spans="13:25" x14ac:dyDescent="0.2">
      <c r="M69" s="2">
        <v>68</v>
      </c>
      <c r="N69" s="2" t="s">
        <v>164</v>
      </c>
      <c r="O69" s="2"/>
      <c r="P69" s="2"/>
      <c r="Q69" s="2"/>
      <c r="S69" t="s">
        <v>116</v>
      </c>
      <c r="T69">
        <v>-241404.4199821974</v>
      </c>
      <c r="W69" t="s">
        <v>607</v>
      </c>
      <c r="X69">
        <v>27226.880000000001</v>
      </c>
      <c r="Y69">
        <v>32197.02</v>
      </c>
    </row>
    <row r="70" spans="13:25" x14ac:dyDescent="0.2">
      <c r="M70" s="2">
        <v>69</v>
      </c>
      <c r="N70" s="2" t="s">
        <v>165</v>
      </c>
      <c r="O70" s="2"/>
      <c r="P70" s="2"/>
      <c r="Q70" s="2"/>
      <c r="S70" t="s">
        <v>117</v>
      </c>
      <c r="T70">
        <v>-139310.31</v>
      </c>
      <c r="W70" t="s">
        <v>608</v>
      </c>
      <c r="X70">
        <v>344766</v>
      </c>
      <c r="Y70">
        <v>345442.75</v>
      </c>
    </row>
    <row r="71" spans="13:25" x14ac:dyDescent="0.2">
      <c r="M71" s="2">
        <v>70</v>
      </c>
      <c r="N71" s="2" t="s">
        <v>167</v>
      </c>
      <c r="O71" s="2"/>
      <c r="P71" s="2"/>
      <c r="Q71" s="2"/>
      <c r="S71" t="s">
        <v>118</v>
      </c>
      <c r="T71">
        <v>442995.16</v>
      </c>
      <c r="W71" t="s">
        <v>609</v>
      </c>
      <c r="X71">
        <v>1014309.9700000001</v>
      </c>
      <c r="Y71">
        <v>948339.19000000006</v>
      </c>
    </row>
    <row r="72" spans="13:25" x14ac:dyDescent="0.2">
      <c r="M72" s="2">
        <v>71</v>
      </c>
      <c r="N72" s="2" t="s">
        <v>169</v>
      </c>
      <c r="O72" s="2"/>
      <c r="P72" s="2"/>
      <c r="Q72" s="2"/>
      <c r="S72" t="s">
        <v>119</v>
      </c>
      <c r="T72">
        <v>-657957.75156197976</v>
      </c>
      <c r="W72" t="s">
        <v>610</v>
      </c>
      <c r="X72">
        <v>60844.88</v>
      </c>
      <c r="Y72">
        <v>51687.05</v>
      </c>
    </row>
    <row r="73" spans="13:25" x14ac:dyDescent="0.2">
      <c r="M73" s="2">
        <v>72</v>
      </c>
      <c r="N73" s="2" t="s">
        <v>171</v>
      </c>
      <c r="O73" s="2"/>
      <c r="P73" s="2"/>
      <c r="Q73" s="2"/>
      <c r="S73" t="s">
        <v>120</v>
      </c>
      <c r="T73">
        <v>-341538.87</v>
      </c>
      <c r="W73" t="s">
        <v>611</v>
      </c>
      <c r="X73">
        <v>585303.12</v>
      </c>
      <c r="Y73">
        <v>560873.61</v>
      </c>
    </row>
    <row r="74" spans="13:25" x14ac:dyDescent="0.2">
      <c r="M74" s="2">
        <v>73</v>
      </c>
      <c r="N74" s="2" t="s">
        <v>175</v>
      </c>
      <c r="O74" s="2"/>
      <c r="P74" s="2"/>
      <c r="Q74" s="2"/>
      <c r="S74" t="s">
        <v>121</v>
      </c>
      <c r="T74">
        <v>-1163120.71</v>
      </c>
      <c r="W74" t="s">
        <v>612</v>
      </c>
      <c r="X74">
        <v>71579.039999999994</v>
      </c>
      <c r="Y74">
        <v>88941.37</v>
      </c>
    </row>
    <row r="75" spans="13:25" x14ac:dyDescent="0.2">
      <c r="M75" s="2">
        <v>74</v>
      </c>
      <c r="N75" s="2" t="s">
        <v>176</v>
      </c>
      <c r="O75" s="2"/>
      <c r="P75" s="2"/>
      <c r="Q75" s="2"/>
      <c r="S75" t="s">
        <v>122</v>
      </c>
      <c r="T75">
        <v>-776965.61</v>
      </c>
      <c r="W75" t="s">
        <v>613</v>
      </c>
      <c r="X75">
        <v>15978.24</v>
      </c>
      <c r="Y75">
        <v>16664.59</v>
      </c>
    </row>
    <row r="76" spans="13:25" x14ac:dyDescent="0.2">
      <c r="M76" s="2">
        <v>75</v>
      </c>
      <c r="N76" s="2" t="s">
        <v>177</v>
      </c>
      <c r="O76" s="2"/>
      <c r="P76" s="2"/>
      <c r="Q76" s="2"/>
      <c r="S76" t="s">
        <v>123</v>
      </c>
      <c r="T76">
        <v>-965752.72</v>
      </c>
      <c r="W76" t="s">
        <v>614</v>
      </c>
      <c r="X76">
        <v>56521.84</v>
      </c>
      <c r="Y76">
        <v>140671.10999999999</v>
      </c>
    </row>
    <row r="77" spans="13:25" x14ac:dyDescent="0.2">
      <c r="M77" s="2">
        <v>76</v>
      </c>
      <c r="N77" s="2" t="s">
        <v>187</v>
      </c>
      <c r="O77" s="2"/>
      <c r="P77" s="2"/>
      <c r="Q77" s="2"/>
      <c r="S77" t="s">
        <v>124</v>
      </c>
      <c r="T77">
        <v>-544290.42000000004</v>
      </c>
      <c r="W77" t="s">
        <v>615</v>
      </c>
      <c r="X77">
        <v>36918.480000000003</v>
      </c>
      <c r="Y77">
        <v>34549.72</v>
      </c>
    </row>
    <row r="78" spans="13:25" x14ac:dyDescent="0.2">
      <c r="M78" s="2">
        <v>77</v>
      </c>
      <c r="N78" s="2" t="s">
        <v>194</v>
      </c>
      <c r="O78" s="2"/>
      <c r="P78" s="2"/>
      <c r="Q78" s="2"/>
      <c r="S78" t="s">
        <v>125</v>
      </c>
      <c r="T78">
        <v>-877867.33</v>
      </c>
      <c r="W78" t="s">
        <v>616</v>
      </c>
      <c r="X78">
        <v>561609.72</v>
      </c>
      <c r="Y78">
        <v>568005.06000000006</v>
      </c>
    </row>
    <row r="79" spans="13:25" x14ac:dyDescent="0.2">
      <c r="M79" s="2">
        <v>78</v>
      </c>
      <c r="N79" s="2" t="s">
        <v>201</v>
      </c>
      <c r="O79" s="2"/>
      <c r="P79" s="2"/>
      <c r="Q79" s="2"/>
      <c r="S79" t="s">
        <v>126</v>
      </c>
      <c r="T79">
        <v>-556235.43999999994</v>
      </c>
      <c r="W79" t="s">
        <v>617</v>
      </c>
      <c r="X79">
        <v>775217.54</v>
      </c>
      <c r="Y79">
        <v>763706.15999999992</v>
      </c>
    </row>
    <row r="80" spans="13:25" x14ac:dyDescent="0.2">
      <c r="M80" s="2">
        <v>79</v>
      </c>
      <c r="N80" s="2" t="s">
        <v>218</v>
      </c>
      <c r="O80" s="2"/>
      <c r="P80" s="2"/>
      <c r="Q80" s="2"/>
      <c r="S80" t="s">
        <v>129</v>
      </c>
      <c r="T80">
        <v>4165670.31</v>
      </c>
      <c r="W80" t="s">
        <v>618</v>
      </c>
      <c r="X80">
        <v>584922.64</v>
      </c>
      <c r="Y80">
        <v>596335.81000000006</v>
      </c>
    </row>
    <row r="81" spans="19:25" x14ac:dyDescent="0.2">
      <c r="S81" t="s">
        <v>130</v>
      </c>
      <c r="T81">
        <v>163628.01</v>
      </c>
      <c r="W81" t="s">
        <v>738</v>
      </c>
      <c r="X81">
        <v>782142.94000000006</v>
      </c>
      <c r="Y81">
        <v>761986.28</v>
      </c>
    </row>
    <row r="82" spans="19:25" x14ac:dyDescent="0.2">
      <c r="S82" t="s">
        <v>131</v>
      </c>
      <c r="T82">
        <v>299140.09999999998</v>
      </c>
      <c r="W82" t="s">
        <v>619</v>
      </c>
      <c r="X82">
        <v>615955.27999999991</v>
      </c>
      <c r="Y82">
        <v>599609.39</v>
      </c>
    </row>
    <row r="83" spans="19:25" x14ac:dyDescent="0.2">
      <c r="S83" t="s">
        <v>132</v>
      </c>
      <c r="T83">
        <v>-889764.02</v>
      </c>
      <c r="W83" t="s">
        <v>620</v>
      </c>
      <c r="X83">
        <v>584335.35999999999</v>
      </c>
      <c r="Y83">
        <v>594672.70000000007</v>
      </c>
    </row>
    <row r="84" spans="19:25" x14ac:dyDescent="0.2">
      <c r="S84" t="s">
        <v>133</v>
      </c>
      <c r="T84">
        <v>-1392017.83</v>
      </c>
      <c r="W84" t="s">
        <v>621</v>
      </c>
      <c r="X84">
        <v>733778.19000000006</v>
      </c>
      <c r="Y84">
        <v>756483.33</v>
      </c>
    </row>
    <row r="85" spans="19:25" x14ac:dyDescent="0.2">
      <c r="S85" t="s">
        <v>135</v>
      </c>
      <c r="T85">
        <v>-439006.6</v>
      </c>
      <c r="W85" t="s">
        <v>622</v>
      </c>
      <c r="X85">
        <v>896479.72</v>
      </c>
      <c r="Y85">
        <v>884840.88</v>
      </c>
    </row>
    <row r="86" spans="19:25" x14ac:dyDescent="0.2">
      <c r="S86" t="s">
        <v>136</v>
      </c>
      <c r="T86">
        <v>92684.89</v>
      </c>
      <c r="W86" t="s">
        <v>623</v>
      </c>
      <c r="X86">
        <v>539293.31999999995</v>
      </c>
      <c r="Y86">
        <v>536977.69000000006</v>
      </c>
    </row>
    <row r="87" spans="19:25" x14ac:dyDescent="0.2">
      <c r="S87" t="s">
        <v>137</v>
      </c>
      <c r="T87">
        <v>-1393112.62</v>
      </c>
      <c r="W87" t="s">
        <v>743</v>
      </c>
      <c r="X87">
        <v>575396.46</v>
      </c>
      <c r="Y87">
        <v>569206.44999999995</v>
      </c>
    </row>
    <row r="88" spans="19:25" x14ac:dyDescent="0.2">
      <c r="S88" t="s">
        <v>138</v>
      </c>
      <c r="T88">
        <v>-741564.71</v>
      </c>
      <c r="W88" t="s">
        <v>624</v>
      </c>
      <c r="X88">
        <v>555952.56000000006</v>
      </c>
      <c r="Y88">
        <v>531665.53</v>
      </c>
    </row>
    <row r="89" spans="19:25" x14ac:dyDescent="0.2">
      <c r="S89" t="s">
        <v>139</v>
      </c>
      <c r="T89">
        <v>-287082.36</v>
      </c>
      <c r="W89" t="s">
        <v>625</v>
      </c>
      <c r="X89">
        <v>266751.56</v>
      </c>
      <c r="Y89">
        <v>235242.69</v>
      </c>
    </row>
    <row r="90" spans="19:25" x14ac:dyDescent="0.2">
      <c r="S90" t="s">
        <v>140</v>
      </c>
      <c r="T90">
        <v>-156451.1</v>
      </c>
      <c r="W90" t="s">
        <v>626</v>
      </c>
      <c r="X90">
        <v>882378.66</v>
      </c>
      <c r="Y90">
        <v>848079.23</v>
      </c>
    </row>
    <row r="91" spans="19:25" x14ac:dyDescent="0.2">
      <c r="S91" t="s">
        <v>141</v>
      </c>
      <c r="T91">
        <v>-249006.07999999999</v>
      </c>
      <c r="W91" t="s">
        <v>627</v>
      </c>
      <c r="X91">
        <v>296357.5</v>
      </c>
      <c r="Y91">
        <v>292207.65999999997</v>
      </c>
    </row>
    <row r="92" spans="19:25" x14ac:dyDescent="0.2">
      <c r="S92" t="s">
        <v>143</v>
      </c>
      <c r="T92">
        <v>-365270.57928696909</v>
      </c>
      <c r="W92" t="s">
        <v>628</v>
      </c>
      <c r="X92">
        <v>815665.77</v>
      </c>
      <c r="Y92">
        <v>807442.2</v>
      </c>
    </row>
    <row r="93" spans="19:25" x14ac:dyDescent="0.2">
      <c r="S93" t="s">
        <v>147</v>
      </c>
      <c r="T93">
        <v>-1073384.4493611122</v>
      </c>
      <c r="W93" t="s">
        <v>629</v>
      </c>
      <c r="X93">
        <v>505501.34</v>
      </c>
      <c r="Y93">
        <v>517130.88</v>
      </c>
    </row>
    <row r="94" spans="19:25" x14ac:dyDescent="0.2">
      <c r="S94" t="s">
        <v>149</v>
      </c>
      <c r="T94">
        <v>-35405.910516163451</v>
      </c>
      <c r="W94" t="s">
        <v>630</v>
      </c>
      <c r="X94">
        <v>262123.40000000002</v>
      </c>
      <c r="Y94">
        <v>264525.36</v>
      </c>
    </row>
    <row r="95" spans="19:25" x14ac:dyDescent="0.2">
      <c r="S95" t="s">
        <v>150</v>
      </c>
      <c r="T95">
        <v>-118106.63857841918</v>
      </c>
      <c r="W95" t="s">
        <v>631</v>
      </c>
      <c r="X95">
        <v>595497.12</v>
      </c>
      <c r="Y95">
        <v>554701.9</v>
      </c>
    </row>
    <row r="96" spans="19:25" x14ac:dyDescent="0.2">
      <c r="S96" t="s">
        <v>151</v>
      </c>
      <c r="T96">
        <v>-172559.02621595084</v>
      </c>
      <c r="W96" t="s">
        <v>632</v>
      </c>
      <c r="X96">
        <v>192741.7</v>
      </c>
      <c r="Y96">
        <v>255776.37</v>
      </c>
    </row>
    <row r="97" spans="19:25" x14ac:dyDescent="0.2">
      <c r="S97" t="s">
        <v>152</v>
      </c>
      <c r="T97">
        <v>68202.809578636414</v>
      </c>
      <c r="W97" t="s">
        <v>503</v>
      </c>
      <c r="X97">
        <v>71221.41</v>
      </c>
      <c r="Y97">
        <v>62048.33</v>
      </c>
    </row>
    <row r="98" spans="19:25" x14ac:dyDescent="0.2">
      <c r="S98" t="s">
        <v>153</v>
      </c>
      <c r="T98">
        <v>-257210.29893115888</v>
      </c>
      <c r="W98" t="s">
        <v>633</v>
      </c>
      <c r="X98">
        <v>143297.20000000001</v>
      </c>
      <c r="Y98">
        <v>138001.44</v>
      </c>
    </row>
    <row r="99" spans="19:25" x14ac:dyDescent="0.2">
      <c r="S99" t="s">
        <v>155</v>
      </c>
      <c r="T99">
        <v>-785135.61</v>
      </c>
      <c r="W99" t="s">
        <v>634</v>
      </c>
      <c r="X99">
        <v>176635.78</v>
      </c>
      <c r="Y99">
        <v>154230.17000000001</v>
      </c>
    </row>
    <row r="100" spans="19:25" x14ac:dyDescent="0.2">
      <c r="S100" t="s">
        <v>157</v>
      </c>
      <c r="T100">
        <v>-334876.19985281635</v>
      </c>
      <c r="W100" t="s">
        <v>635</v>
      </c>
      <c r="X100">
        <v>1124514.51</v>
      </c>
      <c r="Y100">
        <v>1047206.4400000001</v>
      </c>
    </row>
    <row r="101" spans="19:25" x14ac:dyDescent="0.2">
      <c r="S101" t="s">
        <v>158</v>
      </c>
      <c r="T101">
        <v>131430.15796542508</v>
      </c>
      <c r="W101" t="s">
        <v>636</v>
      </c>
      <c r="X101">
        <v>2682026.6399999997</v>
      </c>
      <c r="Y101">
        <v>2517638.0999999996</v>
      </c>
    </row>
    <row r="102" spans="19:25" x14ac:dyDescent="0.2">
      <c r="S102" t="s">
        <v>159</v>
      </c>
      <c r="T102">
        <v>-192158.7794273005</v>
      </c>
      <c r="W102" t="s">
        <v>637</v>
      </c>
      <c r="X102">
        <v>716094.72</v>
      </c>
      <c r="Y102">
        <v>692669.01</v>
      </c>
    </row>
    <row r="103" spans="19:25" x14ac:dyDescent="0.2">
      <c r="S103" t="s">
        <v>160</v>
      </c>
      <c r="T103">
        <v>-556511.71</v>
      </c>
      <c r="W103" t="s">
        <v>638</v>
      </c>
      <c r="X103">
        <v>960687.51</v>
      </c>
      <c r="Y103">
        <v>872211.73</v>
      </c>
    </row>
    <row r="104" spans="19:25" x14ac:dyDescent="0.2">
      <c r="S104" t="s">
        <v>161</v>
      </c>
      <c r="T104">
        <v>-636429.01</v>
      </c>
      <c r="W104" t="s">
        <v>639</v>
      </c>
      <c r="X104">
        <v>377224.79</v>
      </c>
      <c r="Y104">
        <v>348244.68000000005</v>
      </c>
    </row>
    <row r="105" spans="19:25" x14ac:dyDescent="0.2">
      <c r="S105" t="s">
        <v>162</v>
      </c>
      <c r="T105">
        <v>-803353.61049425101</v>
      </c>
      <c r="W105" t="s">
        <v>640</v>
      </c>
      <c r="X105">
        <v>71853.899999999994</v>
      </c>
      <c r="Y105">
        <v>79138.41</v>
      </c>
    </row>
    <row r="106" spans="19:25" x14ac:dyDescent="0.2">
      <c r="S106" t="s">
        <v>163</v>
      </c>
      <c r="T106">
        <v>-357083.18107639678</v>
      </c>
      <c r="W106" t="s">
        <v>641</v>
      </c>
      <c r="X106">
        <v>89754.6</v>
      </c>
      <c r="Y106">
        <v>116034.78</v>
      </c>
    </row>
    <row r="107" spans="19:25" x14ac:dyDescent="0.2">
      <c r="S107" t="s">
        <v>164</v>
      </c>
      <c r="T107">
        <v>-1227713.31</v>
      </c>
      <c r="W107" t="s">
        <v>642</v>
      </c>
      <c r="X107">
        <v>468471.78</v>
      </c>
      <c r="Y107">
        <v>423918.16000000003</v>
      </c>
    </row>
    <row r="108" spans="19:25" x14ac:dyDescent="0.2">
      <c r="S108" t="s">
        <v>165</v>
      </c>
      <c r="T108">
        <v>-1606073.74</v>
      </c>
      <c r="W108" t="s">
        <v>504</v>
      </c>
      <c r="X108">
        <v>57162.96</v>
      </c>
      <c r="Y108">
        <v>58149.04</v>
      </c>
    </row>
    <row r="109" spans="19:25" x14ac:dyDescent="0.2">
      <c r="S109" t="s">
        <v>166</v>
      </c>
      <c r="T109">
        <v>-119905.0970409119</v>
      </c>
      <c r="W109" t="s">
        <v>505</v>
      </c>
      <c r="X109">
        <v>63545.04</v>
      </c>
      <c r="Y109">
        <v>55972.45</v>
      </c>
    </row>
    <row r="110" spans="19:25" x14ac:dyDescent="0.2">
      <c r="S110" t="s">
        <v>167</v>
      </c>
      <c r="T110">
        <v>386674</v>
      </c>
      <c r="W110" t="s">
        <v>643</v>
      </c>
      <c r="X110">
        <v>109806.58</v>
      </c>
      <c r="Y110">
        <v>90410.07</v>
      </c>
    </row>
    <row r="111" spans="19:25" x14ac:dyDescent="0.2">
      <c r="S111" t="s">
        <v>168</v>
      </c>
      <c r="T111">
        <v>-251600.73724544753</v>
      </c>
      <c r="W111" t="s">
        <v>644</v>
      </c>
      <c r="X111">
        <v>364758.30000000005</v>
      </c>
      <c r="Y111">
        <v>329036.49</v>
      </c>
    </row>
    <row r="112" spans="19:25" x14ac:dyDescent="0.2">
      <c r="S112" t="s">
        <v>169</v>
      </c>
      <c r="T112">
        <v>339679.45</v>
      </c>
      <c r="W112" t="s">
        <v>645</v>
      </c>
      <c r="X112">
        <v>616476.69999999995</v>
      </c>
      <c r="Y112">
        <v>579955.11</v>
      </c>
    </row>
    <row r="113" spans="19:25" x14ac:dyDescent="0.2">
      <c r="S113" t="s">
        <v>170</v>
      </c>
      <c r="T113">
        <v>-361303.19572368654</v>
      </c>
      <c r="W113" t="s">
        <v>646</v>
      </c>
      <c r="X113">
        <v>893607.05999999994</v>
      </c>
      <c r="Y113">
        <v>841773.46</v>
      </c>
    </row>
    <row r="114" spans="19:25" x14ac:dyDescent="0.2">
      <c r="S114" t="s">
        <v>171</v>
      </c>
      <c r="T114">
        <v>58945.919999999998</v>
      </c>
      <c r="W114" t="s">
        <v>647</v>
      </c>
      <c r="X114">
        <v>210122.78</v>
      </c>
      <c r="Y114">
        <v>202635.64</v>
      </c>
    </row>
    <row r="115" spans="19:25" x14ac:dyDescent="0.2">
      <c r="S115" t="s">
        <v>172</v>
      </c>
      <c r="T115">
        <v>-76436.163903904875</v>
      </c>
      <c r="W115" t="s">
        <v>648</v>
      </c>
      <c r="X115">
        <v>299815.18</v>
      </c>
      <c r="Y115">
        <v>279672.83999999997</v>
      </c>
    </row>
    <row r="116" spans="19:25" x14ac:dyDescent="0.2">
      <c r="S116" t="s">
        <v>173</v>
      </c>
      <c r="T116">
        <v>-371439.80430284579</v>
      </c>
      <c r="W116" t="s">
        <v>649</v>
      </c>
      <c r="X116">
        <v>506666.28</v>
      </c>
      <c r="Y116">
        <v>487803.81</v>
      </c>
    </row>
    <row r="117" spans="19:25" x14ac:dyDescent="0.2">
      <c r="S117" t="s">
        <v>175</v>
      </c>
      <c r="T117">
        <v>-114072.29</v>
      </c>
      <c r="W117" t="s">
        <v>650</v>
      </c>
      <c r="X117">
        <v>278739.48</v>
      </c>
      <c r="Y117">
        <v>267173.18</v>
      </c>
    </row>
    <row r="118" spans="19:25" x14ac:dyDescent="0.2">
      <c r="S118" t="s">
        <v>176</v>
      </c>
      <c r="T118">
        <v>-154471.32999999999</v>
      </c>
      <c r="W118" t="s">
        <v>651</v>
      </c>
      <c r="X118">
        <v>374789.28</v>
      </c>
      <c r="Y118">
        <v>401515.2</v>
      </c>
    </row>
    <row r="119" spans="19:25" x14ac:dyDescent="0.2">
      <c r="S119" t="s">
        <v>177</v>
      </c>
      <c r="T119">
        <v>-694712.02</v>
      </c>
      <c r="W119" t="s">
        <v>652</v>
      </c>
      <c r="X119">
        <v>1021163.88</v>
      </c>
      <c r="Y119">
        <v>1007768.62</v>
      </c>
    </row>
    <row r="120" spans="19:25" x14ac:dyDescent="0.2">
      <c r="S120" t="s">
        <v>187</v>
      </c>
      <c r="T120">
        <v>1299337.73</v>
      </c>
      <c r="W120" t="s">
        <v>653</v>
      </c>
      <c r="X120">
        <v>1403174.08</v>
      </c>
      <c r="Y120">
        <v>1354142.81</v>
      </c>
    </row>
    <row r="121" spans="19:25" x14ac:dyDescent="0.2">
      <c r="S121" t="s">
        <v>192</v>
      </c>
      <c r="T121">
        <v>-909108.84959764499</v>
      </c>
      <c r="W121" t="s">
        <v>654</v>
      </c>
      <c r="X121">
        <v>677123.7</v>
      </c>
      <c r="Y121">
        <v>663527.56000000006</v>
      </c>
    </row>
    <row r="122" spans="19:25" x14ac:dyDescent="0.2">
      <c r="S122" t="s">
        <v>193</v>
      </c>
      <c r="T122">
        <v>-7313.0800000000017</v>
      </c>
      <c r="W122" t="s">
        <v>655</v>
      </c>
      <c r="X122">
        <v>556792.68000000005</v>
      </c>
      <c r="Y122">
        <v>526431.4</v>
      </c>
    </row>
    <row r="123" spans="19:25" x14ac:dyDescent="0.2">
      <c r="S123" t="s">
        <v>194</v>
      </c>
      <c r="T123">
        <v>-3800226.53</v>
      </c>
      <c r="W123" t="s">
        <v>656</v>
      </c>
      <c r="X123">
        <v>808255.08000000007</v>
      </c>
      <c r="Y123">
        <v>805425.09</v>
      </c>
    </row>
    <row r="124" spans="19:25" x14ac:dyDescent="0.2">
      <c r="S124" t="s">
        <v>195</v>
      </c>
      <c r="T124">
        <v>-257388.76085581878</v>
      </c>
      <c r="W124" t="s">
        <v>657</v>
      </c>
      <c r="X124">
        <v>261364.7</v>
      </c>
      <c r="Y124">
        <v>238448.77000000002</v>
      </c>
    </row>
    <row r="125" spans="19:25" x14ac:dyDescent="0.2">
      <c r="S125" t="s">
        <v>196</v>
      </c>
      <c r="T125">
        <v>-463136.7476126749</v>
      </c>
      <c r="W125" t="s">
        <v>658</v>
      </c>
      <c r="X125">
        <v>1165338.02</v>
      </c>
      <c r="Y125">
        <v>1132790.43</v>
      </c>
    </row>
    <row r="126" spans="19:25" x14ac:dyDescent="0.2">
      <c r="S126" t="s">
        <v>197</v>
      </c>
      <c r="T126">
        <v>-134915.82736448146</v>
      </c>
      <c r="W126" t="s">
        <v>659</v>
      </c>
      <c r="X126">
        <v>740982.02</v>
      </c>
      <c r="Y126">
        <v>689769.25</v>
      </c>
    </row>
    <row r="127" spans="19:25" x14ac:dyDescent="0.2">
      <c r="S127" t="s">
        <v>198</v>
      </c>
      <c r="T127">
        <v>83329.346663690929</v>
      </c>
      <c r="W127" t="s">
        <v>660</v>
      </c>
      <c r="X127">
        <v>551266.97</v>
      </c>
      <c r="Y127">
        <v>560269.78</v>
      </c>
    </row>
    <row r="128" spans="19:25" x14ac:dyDescent="0.2">
      <c r="S128" t="s">
        <v>495</v>
      </c>
      <c r="T128">
        <v>-134261.76655380512</v>
      </c>
      <c r="W128" t="s">
        <v>661</v>
      </c>
      <c r="X128">
        <v>962380.99</v>
      </c>
      <c r="Y128">
        <v>1009458.45</v>
      </c>
    </row>
    <row r="129" spans="19:25" x14ac:dyDescent="0.2">
      <c r="S129" t="s">
        <v>496</v>
      </c>
      <c r="T129">
        <v>-506375.90301762812</v>
      </c>
      <c r="W129" t="s">
        <v>662</v>
      </c>
      <c r="X129">
        <v>475874.08</v>
      </c>
      <c r="Y129">
        <v>456169.32</v>
      </c>
    </row>
    <row r="130" spans="19:25" x14ac:dyDescent="0.2">
      <c r="S130" t="s">
        <v>497</v>
      </c>
      <c r="T130">
        <v>-838563.91108098475</v>
      </c>
      <c r="W130" t="s">
        <v>663</v>
      </c>
      <c r="X130">
        <v>2523922.3200000003</v>
      </c>
      <c r="Y130">
        <v>2511129.23</v>
      </c>
    </row>
    <row r="131" spans="19:25" x14ac:dyDescent="0.2">
      <c r="S131" t="s">
        <v>498</v>
      </c>
      <c r="T131">
        <v>-1002472.8093606732</v>
      </c>
      <c r="W131" t="s">
        <v>664</v>
      </c>
      <c r="X131">
        <v>335651.98</v>
      </c>
      <c r="Y131">
        <v>331958.26</v>
      </c>
    </row>
    <row r="132" spans="19:25" x14ac:dyDescent="0.2">
      <c r="S132" t="s">
        <v>499</v>
      </c>
      <c r="T132">
        <v>-579762.38548584329</v>
      </c>
      <c r="W132" t="s">
        <v>665</v>
      </c>
      <c r="X132">
        <v>1147410.3800000001</v>
      </c>
      <c r="Y132">
        <v>1101327.3900000001</v>
      </c>
    </row>
    <row r="133" spans="19:25" x14ac:dyDescent="0.2">
      <c r="S133" t="s">
        <v>500</v>
      </c>
      <c r="T133">
        <v>-302405.68355533684</v>
      </c>
      <c r="W133" t="s">
        <v>666</v>
      </c>
      <c r="X133">
        <v>509381.42</v>
      </c>
      <c r="Y133">
        <v>466715.74</v>
      </c>
    </row>
    <row r="134" spans="19:25" x14ac:dyDescent="0.2">
      <c r="S134" t="s">
        <v>501</v>
      </c>
      <c r="T134">
        <v>27587.826927885893</v>
      </c>
      <c r="W134" t="s">
        <v>667</v>
      </c>
      <c r="X134">
        <v>820532.41999999993</v>
      </c>
      <c r="Y134">
        <v>823146.34</v>
      </c>
    </row>
    <row r="135" spans="19:25" x14ac:dyDescent="0.2">
      <c r="S135" t="s">
        <v>502</v>
      </c>
      <c r="T135">
        <v>-208874.83851326132</v>
      </c>
      <c r="W135" t="s">
        <v>668</v>
      </c>
      <c r="X135">
        <v>518676.81</v>
      </c>
      <c r="Y135">
        <v>466921.37</v>
      </c>
    </row>
    <row r="136" spans="19:25" x14ac:dyDescent="0.2">
      <c r="S136" t="s">
        <v>503</v>
      </c>
      <c r="T136">
        <v>-161122.88617580972</v>
      </c>
      <c r="W136" t="s">
        <v>669</v>
      </c>
      <c r="X136">
        <v>332254.06</v>
      </c>
      <c r="Y136">
        <v>320881.89</v>
      </c>
    </row>
    <row r="137" spans="19:25" x14ac:dyDescent="0.2">
      <c r="S137" t="s">
        <v>504</v>
      </c>
      <c r="T137">
        <v>-648885.46370026446</v>
      </c>
      <c r="W137" t="s">
        <v>670</v>
      </c>
      <c r="X137">
        <v>448786.6</v>
      </c>
      <c r="Y137">
        <v>431144.76</v>
      </c>
    </row>
    <row r="138" spans="19:25" x14ac:dyDescent="0.2">
      <c r="S138" t="s">
        <v>505</v>
      </c>
      <c r="T138">
        <v>-442515.87945588608</v>
      </c>
      <c r="W138" t="s">
        <v>671</v>
      </c>
      <c r="X138">
        <v>362488.45999999996</v>
      </c>
      <c r="Y138">
        <v>363640.78</v>
      </c>
    </row>
    <row r="139" spans="19:25" x14ac:dyDescent="0.2">
      <c r="S139" t="s">
        <v>506</v>
      </c>
      <c r="T139">
        <v>-789245.40782514005</v>
      </c>
      <c r="W139" t="s">
        <v>672</v>
      </c>
      <c r="X139">
        <v>248892.5</v>
      </c>
      <c r="Y139">
        <v>253349.59</v>
      </c>
    </row>
    <row r="140" spans="19:25" x14ac:dyDescent="0.2">
      <c r="S140" t="s">
        <v>507</v>
      </c>
      <c r="T140">
        <v>-454862.07747492258</v>
      </c>
      <c r="W140" t="s">
        <v>673</v>
      </c>
      <c r="X140">
        <v>307196.90000000002</v>
      </c>
      <c r="Y140">
        <v>299439.95</v>
      </c>
    </row>
    <row r="141" spans="19:25" x14ac:dyDescent="0.2">
      <c r="S141" t="s">
        <v>508</v>
      </c>
      <c r="T141">
        <v>-162316.11037914807</v>
      </c>
      <c r="W141" t="s">
        <v>674</v>
      </c>
      <c r="X141">
        <v>402800.44</v>
      </c>
      <c r="Y141">
        <v>401062.31000000006</v>
      </c>
    </row>
    <row r="142" spans="19:25" x14ac:dyDescent="0.2">
      <c r="S142" t="s">
        <v>509</v>
      </c>
      <c r="T142">
        <v>-319673.02362593467</v>
      </c>
      <c r="W142" t="s">
        <v>675</v>
      </c>
      <c r="X142">
        <v>305989.62</v>
      </c>
      <c r="Y142">
        <v>302356.45</v>
      </c>
    </row>
    <row r="143" spans="19:25" x14ac:dyDescent="0.2">
      <c r="S143" t="s">
        <v>510</v>
      </c>
      <c r="T143">
        <v>-263072.26053006935</v>
      </c>
      <c r="W143" t="s">
        <v>506</v>
      </c>
      <c r="X143">
        <v>77461.38</v>
      </c>
      <c r="Y143">
        <v>68970.05</v>
      </c>
    </row>
    <row r="144" spans="19:25" x14ac:dyDescent="0.2">
      <c r="S144" t="s">
        <v>511</v>
      </c>
      <c r="T144">
        <v>-589275.05521445803</v>
      </c>
      <c r="W144" t="s">
        <v>676</v>
      </c>
      <c r="X144">
        <v>99111.9</v>
      </c>
      <c r="Y144">
        <v>140829.65</v>
      </c>
    </row>
    <row r="145" spans="19:25" x14ac:dyDescent="0.2">
      <c r="S145" t="s">
        <v>512</v>
      </c>
      <c r="T145">
        <v>-446175.71315583435</v>
      </c>
      <c r="W145" t="s">
        <v>507</v>
      </c>
      <c r="X145">
        <v>89311.32</v>
      </c>
      <c r="Y145">
        <v>54388.29</v>
      </c>
    </row>
    <row r="146" spans="19:25" x14ac:dyDescent="0.2">
      <c r="S146" t="s">
        <v>513</v>
      </c>
      <c r="T146">
        <v>-242326.63469679916</v>
      </c>
      <c r="W146" t="s">
        <v>508</v>
      </c>
      <c r="X146">
        <v>110548.17</v>
      </c>
      <c r="Y146">
        <v>134658.87</v>
      </c>
    </row>
    <row r="147" spans="19:25" x14ac:dyDescent="0.2">
      <c r="S147" t="s">
        <v>514</v>
      </c>
      <c r="T147">
        <v>64147.300336191605</v>
      </c>
      <c r="W147" t="s">
        <v>509</v>
      </c>
      <c r="X147">
        <v>117501.55</v>
      </c>
      <c r="Y147">
        <v>116044.29</v>
      </c>
    </row>
    <row r="148" spans="19:25" x14ac:dyDescent="0.2">
      <c r="S148" t="s">
        <v>515</v>
      </c>
      <c r="T148">
        <v>-31758.271135186616</v>
      </c>
      <c r="W148" t="s">
        <v>677</v>
      </c>
      <c r="X148">
        <v>125917.24</v>
      </c>
      <c r="Y148">
        <v>108867.44</v>
      </c>
    </row>
    <row r="149" spans="19:25" x14ac:dyDescent="0.2">
      <c r="S149" t="s">
        <v>516</v>
      </c>
      <c r="T149">
        <v>-799394.36250117794</v>
      </c>
      <c r="W149" t="s">
        <v>510</v>
      </c>
      <c r="X149">
        <v>80241.39</v>
      </c>
      <c r="Y149">
        <v>69058.06</v>
      </c>
    </row>
    <row r="150" spans="19:25" x14ac:dyDescent="0.2">
      <c r="S150" t="s">
        <v>200</v>
      </c>
      <c r="T150">
        <v>-343062.53636649478</v>
      </c>
      <c r="W150" t="s">
        <v>678</v>
      </c>
      <c r="X150">
        <v>169051.02</v>
      </c>
      <c r="Y150">
        <v>157919.22</v>
      </c>
    </row>
    <row r="151" spans="19:25" x14ac:dyDescent="0.2">
      <c r="S151" t="s">
        <v>201</v>
      </c>
      <c r="T151">
        <v>-1679620.13</v>
      </c>
      <c r="W151" t="s">
        <v>679</v>
      </c>
      <c r="X151">
        <v>99197.9</v>
      </c>
      <c r="Y151">
        <v>109876.03</v>
      </c>
    </row>
    <row r="152" spans="19:25" x14ac:dyDescent="0.2">
      <c r="S152" t="s">
        <v>202</v>
      </c>
      <c r="T152">
        <v>-557693.25648093817</v>
      </c>
      <c r="W152" t="s">
        <v>680</v>
      </c>
      <c r="X152">
        <v>193290.22</v>
      </c>
      <c r="Y152">
        <v>183644.94</v>
      </c>
    </row>
    <row r="153" spans="19:25" x14ac:dyDescent="0.2">
      <c r="S153" t="s">
        <v>203</v>
      </c>
      <c r="T153">
        <v>-752747.11886823399</v>
      </c>
      <c r="W153" t="s">
        <v>681</v>
      </c>
      <c r="X153">
        <v>115065.78</v>
      </c>
      <c r="Y153">
        <v>107463.23</v>
      </c>
    </row>
    <row r="154" spans="19:25" x14ac:dyDescent="0.2">
      <c r="S154" t="s">
        <v>205</v>
      </c>
      <c r="T154">
        <v>-436954.45643382071</v>
      </c>
      <c r="W154" t="s">
        <v>682</v>
      </c>
      <c r="X154">
        <v>205171.08</v>
      </c>
      <c r="Y154">
        <v>193739.56</v>
      </c>
    </row>
    <row r="155" spans="19:25" x14ac:dyDescent="0.2">
      <c r="S155" t="s">
        <v>206</v>
      </c>
      <c r="T155">
        <v>-8325.5499999999993</v>
      </c>
      <c r="W155" t="s">
        <v>511</v>
      </c>
      <c r="X155">
        <v>88063.47</v>
      </c>
      <c r="Y155">
        <v>71225.320000000007</v>
      </c>
    </row>
    <row r="156" spans="19:25" x14ac:dyDescent="0.2">
      <c r="S156" t="s">
        <v>207</v>
      </c>
      <c r="T156">
        <v>84836.671209180378</v>
      </c>
      <c r="W156" t="s">
        <v>683</v>
      </c>
      <c r="X156">
        <v>302040.24</v>
      </c>
      <c r="Y156">
        <v>299525.8</v>
      </c>
    </row>
    <row r="157" spans="19:25" x14ac:dyDescent="0.2">
      <c r="S157" t="s">
        <v>208</v>
      </c>
      <c r="T157">
        <v>-191429.71928227515</v>
      </c>
      <c r="W157" t="s">
        <v>512</v>
      </c>
      <c r="X157">
        <v>123444.09</v>
      </c>
      <c r="Y157">
        <v>107060.46</v>
      </c>
    </row>
    <row r="158" spans="19:25" x14ac:dyDescent="0.2">
      <c r="S158" t="s">
        <v>209</v>
      </c>
      <c r="T158">
        <v>-345137.32193576859</v>
      </c>
      <c r="W158" t="s">
        <v>684</v>
      </c>
      <c r="X158">
        <v>140813.29999999999</v>
      </c>
      <c r="Y158">
        <v>157184.34</v>
      </c>
    </row>
    <row r="159" spans="19:25" x14ac:dyDescent="0.2">
      <c r="S159" t="s">
        <v>210</v>
      </c>
      <c r="T159">
        <v>-688550.28241506137</v>
      </c>
      <c r="W159" t="s">
        <v>685</v>
      </c>
      <c r="X159">
        <v>163597.44</v>
      </c>
      <c r="Y159">
        <v>154158.16</v>
      </c>
    </row>
    <row r="160" spans="19:25" x14ac:dyDescent="0.2">
      <c r="S160" t="s">
        <v>211</v>
      </c>
      <c r="T160">
        <v>-421850.01847957901</v>
      </c>
      <c r="W160" t="s">
        <v>686</v>
      </c>
      <c r="X160">
        <v>146537.70000000001</v>
      </c>
      <c r="Y160">
        <v>200641.42</v>
      </c>
    </row>
    <row r="161" spans="19:25" x14ac:dyDescent="0.2">
      <c r="S161" t="s">
        <v>212</v>
      </c>
      <c r="T161">
        <v>-145431.09070662782</v>
      </c>
      <c r="W161" t="s">
        <v>687</v>
      </c>
      <c r="X161">
        <v>714628.79999999993</v>
      </c>
      <c r="Y161">
        <v>695357.32000000007</v>
      </c>
    </row>
    <row r="162" spans="19:25" x14ac:dyDescent="0.2">
      <c r="S162" t="s">
        <v>214</v>
      </c>
      <c r="T162">
        <v>-972117.02892345667</v>
      </c>
      <c r="W162" t="s">
        <v>739</v>
      </c>
      <c r="X162">
        <v>348109.55</v>
      </c>
      <c r="Y162">
        <v>309024.34000000003</v>
      </c>
    </row>
    <row r="163" spans="19:25" x14ac:dyDescent="0.2">
      <c r="S163" t="s">
        <v>215</v>
      </c>
      <c r="T163">
        <v>-710300.99866693304</v>
      </c>
      <c r="W163" t="s">
        <v>688</v>
      </c>
      <c r="X163">
        <v>116678.7</v>
      </c>
      <c r="Y163">
        <v>117103.09</v>
      </c>
    </row>
    <row r="164" spans="19:25" x14ac:dyDescent="0.2">
      <c r="S164" t="s">
        <v>216</v>
      </c>
      <c r="T164">
        <v>-1880384.3316889196</v>
      </c>
      <c r="W164" t="s">
        <v>689</v>
      </c>
      <c r="X164">
        <v>522071.76</v>
      </c>
      <c r="Y164">
        <v>527777.96000000008</v>
      </c>
    </row>
    <row r="165" spans="19:25" x14ac:dyDescent="0.2">
      <c r="S165" t="s">
        <v>217</v>
      </c>
      <c r="T165">
        <v>-194391.48615381078</v>
      </c>
      <c r="W165" t="s">
        <v>740</v>
      </c>
      <c r="X165">
        <v>750081.71000000008</v>
      </c>
      <c r="Y165">
        <v>743864.78999999992</v>
      </c>
    </row>
    <row r="166" spans="19:25" x14ac:dyDescent="0.2">
      <c r="S166" t="s">
        <v>218</v>
      </c>
      <c r="T166">
        <v>-1102370.8500000001</v>
      </c>
      <c r="W166" t="s">
        <v>744</v>
      </c>
      <c r="X166">
        <v>345399.72</v>
      </c>
      <c r="Y166">
        <v>360131.52999999997</v>
      </c>
    </row>
    <row r="167" spans="19:25" x14ac:dyDescent="0.2">
      <c r="S167" t="s">
        <v>219</v>
      </c>
      <c r="T167">
        <v>-723134.53854045738</v>
      </c>
      <c r="W167" t="s">
        <v>690</v>
      </c>
      <c r="X167">
        <v>149426</v>
      </c>
      <c r="Y167">
        <v>147612.01</v>
      </c>
    </row>
    <row r="168" spans="19:25" x14ac:dyDescent="0.2">
      <c r="S168">
        <v>166</v>
      </c>
      <c r="W168" t="s">
        <v>691</v>
      </c>
      <c r="X168">
        <v>617052.07999999996</v>
      </c>
      <c r="Y168">
        <v>609480.62999999989</v>
      </c>
    </row>
    <row r="169" spans="19:25" x14ac:dyDescent="0.2">
      <c r="W169" t="s">
        <v>692</v>
      </c>
      <c r="X169">
        <v>140309.79999999999</v>
      </c>
      <c r="Y169">
        <v>138754.26</v>
      </c>
    </row>
    <row r="170" spans="19:25" x14ac:dyDescent="0.2">
      <c r="W170" t="s">
        <v>693</v>
      </c>
      <c r="X170">
        <v>452259.38</v>
      </c>
      <c r="Y170">
        <v>441095.94999999995</v>
      </c>
    </row>
    <row r="171" spans="19:25" x14ac:dyDescent="0.2">
      <c r="W171" t="s">
        <v>694</v>
      </c>
      <c r="X171">
        <v>137467.79999999999</v>
      </c>
      <c r="Y171">
        <v>128475.61</v>
      </c>
    </row>
    <row r="172" spans="19:25" x14ac:dyDescent="0.2">
      <c r="W172" t="s">
        <v>695</v>
      </c>
      <c r="X172">
        <v>430705.76</v>
      </c>
      <c r="Y172">
        <v>416961.29000000004</v>
      </c>
    </row>
    <row r="173" spans="19:25" x14ac:dyDescent="0.2">
      <c r="W173" t="s">
        <v>696</v>
      </c>
      <c r="X173">
        <v>268144.09999999998</v>
      </c>
      <c r="Y173">
        <v>255462.64</v>
      </c>
    </row>
    <row r="174" spans="19:25" x14ac:dyDescent="0.2">
      <c r="W174" t="s">
        <v>741</v>
      </c>
      <c r="X174">
        <v>99126.56</v>
      </c>
      <c r="Y174">
        <v>121367.74</v>
      </c>
    </row>
    <row r="175" spans="19:25" x14ac:dyDescent="0.2">
      <c r="W175" t="s">
        <v>513</v>
      </c>
      <c r="X175">
        <v>69115.679999999993</v>
      </c>
      <c r="Y175">
        <v>64564.31</v>
      </c>
    </row>
    <row r="176" spans="19:25" x14ac:dyDescent="0.2">
      <c r="W176" t="s">
        <v>697</v>
      </c>
      <c r="X176">
        <v>755198.27999999991</v>
      </c>
      <c r="Y176">
        <v>726068.01</v>
      </c>
    </row>
    <row r="177" spans="23:25" x14ac:dyDescent="0.2">
      <c r="W177" t="s">
        <v>698</v>
      </c>
      <c r="X177">
        <v>409723.36</v>
      </c>
      <c r="Y177">
        <v>385238.92</v>
      </c>
    </row>
    <row r="178" spans="23:25" x14ac:dyDescent="0.2">
      <c r="W178" t="s">
        <v>699</v>
      </c>
      <c r="X178">
        <v>489718.08</v>
      </c>
      <c r="Y178">
        <v>476739.45999999996</v>
      </c>
    </row>
    <row r="179" spans="23:25" x14ac:dyDescent="0.2">
      <c r="W179" t="s">
        <v>742</v>
      </c>
      <c r="X179">
        <v>29333.919999999998</v>
      </c>
      <c r="Y179">
        <v>14433.71</v>
      </c>
    </row>
    <row r="180" spans="23:25" x14ac:dyDescent="0.2">
      <c r="W180" t="s">
        <v>745</v>
      </c>
      <c r="X180">
        <v>44532.480000000003</v>
      </c>
      <c r="Y180">
        <v>58253.96</v>
      </c>
    </row>
    <row r="181" spans="23:25" x14ac:dyDescent="0.2">
      <c r="W181" t="s">
        <v>700</v>
      </c>
      <c r="X181">
        <v>473717.93</v>
      </c>
      <c r="Y181">
        <v>450486.33</v>
      </c>
    </row>
    <row r="182" spans="23:25" x14ac:dyDescent="0.2">
      <c r="W182" t="s">
        <v>701</v>
      </c>
      <c r="X182">
        <v>881624.3600000001</v>
      </c>
      <c r="Y182">
        <v>849689.01</v>
      </c>
    </row>
    <row r="183" spans="23:25" x14ac:dyDescent="0.2">
      <c r="W183" t="s">
        <v>702</v>
      </c>
      <c r="X183">
        <v>629105.4</v>
      </c>
      <c r="Y183">
        <v>577385.69000000006</v>
      </c>
    </row>
    <row r="184" spans="23:25" x14ac:dyDescent="0.2">
      <c r="W184" t="s">
        <v>703</v>
      </c>
      <c r="X184">
        <v>74515.44</v>
      </c>
      <c r="Y184">
        <v>73486.55</v>
      </c>
    </row>
    <row r="185" spans="23:25" x14ac:dyDescent="0.2">
      <c r="W185" t="s">
        <v>704</v>
      </c>
      <c r="X185">
        <v>582765.76</v>
      </c>
      <c r="Y185">
        <v>545950.21</v>
      </c>
    </row>
    <row r="186" spans="23:25" x14ac:dyDescent="0.2">
      <c r="W186" t="s">
        <v>705</v>
      </c>
      <c r="X186">
        <v>71202.64</v>
      </c>
      <c r="Y186">
        <v>137858.72</v>
      </c>
    </row>
    <row r="187" spans="23:25" x14ac:dyDescent="0.2">
      <c r="W187" t="s">
        <v>706</v>
      </c>
      <c r="X187">
        <v>363681.95999999996</v>
      </c>
      <c r="Y187">
        <v>347109.27</v>
      </c>
    </row>
    <row r="188" spans="23:25" x14ac:dyDescent="0.2">
      <c r="W188" t="s">
        <v>707</v>
      </c>
      <c r="X188">
        <v>3203301.7199999997</v>
      </c>
      <c r="Y188">
        <v>3101386.41</v>
      </c>
    </row>
    <row r="189" spans="23:25" x14ac:dyDescent="0.2">
      <c r="W189" t="s">
        <v>708</v>
      </c>
      <c r="X189">
        <v>359358.85000000003</v>
      </c>
      <c r="Y189">
        <v>340331.69</v>
      </c>
    </row>
    <row r="190" spans="23:25" x14ac:dyDescent="0.2">
      <c r="W190" t="s">
        <v>709</v>
      </c>
      <c r="X190">
        <v>456533.51999999996</v>
      </c>
      <c r="Y190">
        <v>445682.38</v>
      </c>
    </row>
    <row r="191" spans="23:25" x14ac:dyDescent="0.2">
      <c r="W191" t="s">
        <v>710</v>
      </c>
      <c r="X191">
        <v>715584.96</v>
      </c>
      <c r="Y191">
        <v>688620.19000000006</v>
      </c>
    </row>
    <row r="192" spans="23:25" x14ac:dyDescent="0.2">
      <c r="W192" t="s">
        <v>711</v>
      </c>
      <c r="X192">
        <v>232839.98</v>
      </c>
      <c r="Y192">
        <v>226995.92</v>
      </c>
    </row>
    <row r="193" spans="23:25" x14ac:dyDescent="0.2">
      <c r="W193" t="s">
        <v>712</v>
      </c>
      <c r="X193">
        <v>150869.38</v>
      </c>
      <c r="Y193">
        <v>137132.6</v>
      </c>
    </row>
    <row r="194" spans="23:25" x14ac:dyDescent="0.2">
      <c r="W194" t="s">
        <v>713</v>
      </c>
      <c r="X194">
        <v>22897.78</v>
      </c>
      <c r="Y194">
        <v>22013.51</v>
      </c>
    </row>
    <row r="195" spans="23:25" x14ac:dyDescent="0.2">
      <c r="W195" t="s">
        <v>714</v>
      </c>
      <c r="X195">
        <v>1226065.8799999999</v>
      </c>
      <c r="Y195">
        <v>1138426.99</v>
      </c>
    </row>
    <row r="196" spans="23:25" x14ac:dyDescent="0.2">
      <c r="W196" t="s">
        <v>715</v>
      </c>
      <c r="X196">
        <v>191886.58</v>
      </c>
      <c r="Y196">
        <v>180737.78</v>
      </c>
    </row>
    <row r="197" spans="23:25" x14ac:dyDescent="0.2">
      <c r="W197" t="s">
        <v>716</v>
      </c>
      <c r="X197">
        <v>187668.12</v>
      </c>
      <c r="Y197">
        <v>172718.6</v>
      </c>
    </row>
    <row r="198" spans="23:25" x14ac:dyDescent="0.2">
      <c r="W198" t="s">
        <v>717</v>
      </c>
      <c r="X198">
        <v>102815.5</v>
      </c>
      <c r="Y198">
        <v>99591.33</v>
      </c>
    </row>
    <row r="199" spans="23:25" x14ac:dyDescent="0.2">
      <c r="W199" t="s">
        <v>718</v>
      </c>
      <c r="X199">
        <v>297085.03999999998</v>
      </c>
      <c r="Y199">
        <v>398322.67</v>
      </c>
    </row>
    <row r="200" spans="23:25" x14ac:dyDescent="0.2">
      <c r="W200" t="s">
        <v>514</v>
      </c>
      <c r="X200">
        <v>145788.66</v>
      </c>
      <c r="Y200">
        <v>119075.88</v>
      </c>
    </row>
    <row r="201" spans="23:25" x14ac:dyDescent="0.2">
      <c r="W201" t="s">
        <v>719</v>
      </c>
      <c r="X201">
        <v>238807.8</v>
      </c>
      <c r="Y201">
        <v>208185.61</v>
      </c>
    </row>
    <row r="202" spans="23:25" x14ac:dyDescent="0.2">
      <c r="W202" t="s">
        <v>720</v>
      </c>
      <c r="X202">
        <v>373254.36000000004</v>
      </c>
      <c r="Y202">
        <v>369772.92</v>
      </c>
    </row>
    <row r="203" spans="23:25" x14ac:dyDescent="0.2">
      <c r="W203" t="s">
        <v>721</v>
      </c>
      <c r="X203">
        <v>273882.58</v>
      </c>
      <c r="Y203">
        <v>203248.43</v>
      </c>
    </row>
    <row r="204" spans="23:25" x14ac:dyDescent="0.2">
      <c r="W204" t="s">
        <v>722</v>
      </c>
      <c r="X204">
        <v>109979</v>
      </c>
      <c r="Y204">
        <v>109350.21</v>
      </c>
    </row>
    <row r="205" spans="23:25" x14ac:dyDescent="0.2">
      <c r="W205" t="s">
        <v>515</v>
      </c>
      <c r="X205">
        <v>102588.39</v>
      </c>
      <c r="Y205">
        <v>101787.34</v>
      </c>
    </row>
    <row r="206" spans="23:25" x14ac:dyDescent="0.2">
      <c r="W206" t="s">
        <v>723</v>
      </c>
      <c r="X206">
        <v>184832.2</v>
      </c>
      <c r="Y206">
        <v>187859.99</v>
      </c>
    </row>
    <row r="207" spans="23:25" x14ac:dyDescent="0.2">
      <c r="W207" t="s">
        <v>724</v>
      </c>
      <c r="X207">
        <v>16910.759999999998</v>
      </c>
      <c r="Y207">
        <v>16807.14</v>
      </c>
    </row>
    <row r="208" spans="23:25" x14ac:dyDescent="0.2">
      <c r="W208" t="s">
        <v>725</v>
      </c>
      <c r="X208">
        <v>202786.6</v>
      </c>
      <c r="Y208">
        <v>226176.26</v>
      </c>
    </row>
    <row r="209" spans="23:25" x14ac:dyDescent="0.2">
      <c r="W209" t="s">
        <v>726</v>
      </c>
      <c r="X209">
        <v>39765.22</v>
      </c>
      <c r="Y209">
        <v>40297.43</v>
      </c>
    </row>
    <row r="210" spans="23:25" x14ac:dyDescent="0.2">
      <c r="W210" t="s">
        <v>727</v>
      </c>
      <c r="X210">
        <v>98039.6</v>
      </c>
      <c r="Y210">
        <v>82838.67</v>
      </c>
    </row>
    <row r="211" spans="23:25" x14ac:dyDescent="0.2">
      <c r="W211" t="s">
        <v>728</v>
      </c>
      <c r="X211">
        <v>117861.4</v>
      </c>
      <c r="Y211">
        <v>108906.07</v>
      </c>
    </row>
    <row r="212" spans="23:25" x14ac:dyDescent="0.2">
      <c r="W212" t="s">
        <v>729</v>
      </c>
      <c r="X212">
        <v>217219.16</v>
      </c>
      <c r="Y212">
        <v>205169.36</v>
      </c>
    </row>
    <row r="213" spans="23:25" x14ac:dyDescent="0.2">
      <c r="W213" t="s">
        <v>730</v>
      </c>
      <c r="X213">
        <v>109536.06</v>
      </c>
      <c r="Y213">
        <v>93716.78</v>
      </c>
    </row>
    <row r="214" spans="23:25" x14ac:dyDescent="0.2">
      <c r="W214" t="s">
        <v>516</v>
      </c>
      <c r="X214">
        <v>101324.52</v>
      </c>
      <c r="Y214">
        <v>97068.52</v>
      </c>
    </row>
    <row r="215" spans="23:25" x14ac:dyDescent="0.2">
      <c r="W215" t="s">
        <v>731</v>
      </c>
      <c r="X215">
        <v>116300.88</v>
      </c>
      <c r="Y215">
        <v>116780</v>
      </c>
    </row>
    <row r="216" spans="23:25" x14ac:dyDescent="0.2">
      <c r="W216" t="s">
        <v>732</v>
      </c>
      <c r="X216">
        <v>136596.5</v>
      </c>
      <c r="Y216">
        <v>118300.51</v>
      </c>
    </row>
    <row r="217" spans="23:25" x14ac:dyDescent="0.2">
      <c r="W217" t="s">
        <v>733</v>
      </c>
      <c r="X217">
        <v>192416.74</v>
      </c>
      <c r="Y217">
        <v>202029.76</v>
      </c>
    </row>
    <row r="218" spans="23:25" x14ac:dyDescent="0.2">
      <c r="W218" t="s">
        <v>734</v>
      </c>
      <c r="X218">
        <v>178770.5</v>
      </c>
      <c r="Y218">
        <v>172796.17</v>
      </c>
    </row>
    <row r="219" spans="23:25" x14ac:dyDescent="0.2">
      <c r="W219" t="s">
        <v>735</v>
      </c>
      <c r="X219">
        <v>698543.34000000008</v>
      </c>
      <c r="Y219">
        <v>662723.43000000005</v>
      </c>
    </row>
    <row r="220" spans="23:25" x14ac:dyDescent="0.2">
      <c r="W220" t="s">
        <v>736</v>
      </c>
      <c r="X220">
        <v>340254.44</v>
      </c>
      <c r="Y220">
        <v>402922.25</v>
      </c>
    </row>
    <row r="221" spans="23:25" x14ac:dyDescent="0.2">
      <c r="W221" t="s">
        <v>746</v>
      </c>
      <c r="X221">
        <v>78080.240000000005</v>
      </c>
      <c r="Y221">
        <v>74003.73</v>
      </c>
    </row>
  </sheetData>
  <autoFilter ref="W3:Y221" xr:uid="{00000000-0009-0000-0000-000001000000}"/>
  <phoneticPr fontId="43" type="noConversion"/>
  <pageMargins left="0.70866141732283472" right="0.70866141732283472" top="0.15748031496062992" bottom="0.15748031496062992" header="0.31496062992125984" footer="0.31496062992125984"/>
  <pageSetup paperSize="9" scale="2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filterMode="1">
    <pageSetUpPr fitToPage="1"/>
  </sheetPr>
  <dimension ref="A1:G92"/>
  <sheetViews>
    <sheetView view="pageBreakPreview" topLeftCell="A64" zoomScale="80" zoomScaleNormal="100" zoomScaleSheetLayoutView="80" workbookViewId="0">
      <selection activeCell="A24" sqref="A24:B24"/>
    </sheetView>
  </sheetViews>
  <sheetFormatPr defaultRowHeight="15.75" x14ac:dyDescent="0.25"/>
  <cols>
    <col min="1" max="1" width="91.5703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269" t="s">
        <v>224</v>
      </c>
      <c r="B1" s="269"/>
    </row>
    <row r="2" spans="1:4" ht="16.5" x14ac:dyDescent="0.25">
      <c r="A2" s="270" t="s">
        <v>225</v>
      </c>
      <c r="B2" s="270"/>
    </row>
    <row r="3" spans="1:4" ht="16.5" x14ac:dyDescent="0.25">
      <c r="A3" s="270" t="s">
        <v>226</v>
      </c>
      <c r="B3" s="270"/>
    </row>
    <row r="4" spans="1:4" x14ac:dyDescent="0.25">
      <c r="A4" s="184" t="s">
        <v>494</v>
      </c>
      <c r="B4" s="184"/>
    </row>
    <row r="5" spans="1:4" x14ac:dyDescent="0.25">
      <c r="A5" s="184" t="s">
        <v>36</v>
      </c>
      <c r="B5" s="185"/>
    </row>
    <row r="6" spans="1:4" ht="5.25" customHeight="1" x14ac:dyDescent="0.25">
      <c r="A6" s="184"/>
      <c r="B6" s="4"/>
      <c r="C6" s="4"/>
    </row>
    <row r="7" spans="1:4" ht="16.5" thickBot="1" x14ac:dyDescent="0.3">
      <c r="A7" s="186"/>
      <c r="B7" s="4"/>
      <c r="C7" s="4"/>
    </row>
    <row r="8" spans="1:4" ht="15.75" customHeight="1" x14ac:dyDescent="0.25">
      <c r="A8" s="271" t="s">
        <v>227</v>
      </c>
      <c r="B8" s="273" t="s">
        <v>228</v>
      </c>
      <c r="C8" s="265" t="s">
        <v>229</v>
      </c>
      <c r="D8" s="265" t="s">
        <v>230</v>
      </c>
    </row>
    <row r="9" spans="1:4" ht="16.5" thickBot="1" x14ac:dyDescent="0.3">
      <c r="A9" s="272"/>
      <c r="B9" s="274"/>
      <c r="C9" s="266"/>
      <c r="D9" s="266"/>
    </row>
    <row r="10" spans="1:4" ht="16.5" thickBot="1" x14ac:dyDescent="0.3">
      <c r="A10" s="187" t="s">
        <v>231</v>
      </c>
      <c r="B10" s="188">
        <f>VLOOKUP(A5,мкд!S:T,2,FALSE)</f>
        <v>-1135029.23</v>
      </c>
      <c r="C10" s="189"/>
      <c r="D10" s="189"/>
    </row>
    <row r="11" spans="1:4" ht="16.5" hidden="1" thickBot="1" x14ac:dyDescent="0.3">
      <c r="A11" s="190" t="s">
        <v>232</v>
      </c>
      <c r="B11" s="188"/>
      <c r="C11" s="191"/>
      <c r="D11" s="191"/>
    </row>
    <row r="12" spans="1:4" x14ac:dyDescent="0.25">
      <c r="A12" s="192" t="s">
        <v>233</v>
      </c>
      <c r="B12" s="193"/>
      <c r="C12" s="5" t="s">
        <v>234</v>
      </c>
      <c r="D12" s="6" t="s">
        <v>234</v>
      </c>
    </row>
    <row r="13" spans="1:4" hidden="1" x14ac:dyDescent="0.25">
      <c r="A13" s="107" t="s">
        <v>235</v>
      </c>
      <c r="B13" s="8">
        <v>3347</v>
      </c>
      <c r="C13" s="9" t="s">
        <v>234</v>
      </c>
      <c r="D13" s="10" t="s">
        <v>234</v>
      </c>
    </row>
    <row r="14" spans="1:4" hidden="1" x14ac:dyDescent="0.25">
      <c r="A14" s="107" t="s">
        <v>236</v>
      </c>
      <c r="B14" s="8">
        <v>0</v>
      </c>
      <c r="C14" s="9"/>
      <c r="D14" s="10"/>
    </row>
    <row r="15" spans="1:4" hidden="1" x14ac:dyDescent="0.25">
      <c r="A15" s="107" t="s">
        <v>237</v>
      </c>
      <c r="B15" s="8">
        <f>B13+B14</f>
        <v>3347</v>
      </c>
      <c r="C15" s="9"/>
      <c r="D15" s="10"/>
    </row>
    <row r="16" spans="1:4" hidden="1" x14ac:dyDescent="0.25">
      <c r="A16" s="107" t="s">
        <v>238</v>
      </c>
      <c r="B16" s="8">
        <f>1651.68+1641.3/3</f>
        <v>2198.7800000000002</v>
      </c>
      <c r="C16" s="9" t="s">
        <v>234</v>
      </c>
      <c r="D16" s="10" t="s">
        <v>234</v>
      </c>
    </row>
    <row r="17" spans="1:7" hidden="1" x14ac:dyDescent="0.25">
      <c r="A17" s="107" t="s">
        <v>239</v>
      </c>
      <c r="B17" s="8">
        <v>0</v>
      </c>
      <c r="C17" s="9" t="s">
        <v>234</v>
      </c>
      <c r="D17" s="10" t="s">
        <v>234</v>
      </c>
    </row>
    <row r="18" spans="1:7" hidden="1" x14ac:dyDescent="0.25">
      <c r="A18" s="107" t="s">
        <v>240</v>
      </c>
      <c r="B18" s="8">
        <v>924</v>
      </c>
      <c r="C18" s="9" t="s">
        <v>234</v>
      </c>
      <c r="D18" s="10" t="s">
        <v>234</v>
      </c>
    </row>
    <row r="19" spans="1:7" hidden="1" x14ac:dyDescent="0.25">
      <c r="A19" s="107" t="s">
        <v>241</v>
      </c>
      <c r="B19" s="8">
        <v>0</v>
      </c>
      <c r="C19" s="9" t="s">
        <v>234</v>
      </c>
      <c r="D19" s="10" t="s">
        <v>234</v>
      </c>
    </row>
    <row r="20" spans="1:7" hidden="1" x14ac:dyDescent="0.25">
      <c r="A20" s="107" t="s">
        <v>242</v>
      </c>
      <c r="B20" s="8">
        <v>1201</v>
      </c>
      <c r="C20" s="9"/>
      <c r="D20" s="10"/>
    </row>
    <row r="21" spans="1:7" hidden="1" x14ac:dyDescent="0.25">
      <c r="A21" s="107" t="s">
        <v>243</v>
      </c>
      <c r="B21" s="8">
        <v>0</v>
      </c>
      <c r="C21" s="9" t="s">
        <v>234</v>
      </c>
      <c r="D21" s="10" t="s">
        <v>234</v>
      </c>
    </row>
    <row r="22" spans="1:7" hidden="1" x14ac:dyDescent="0.25">
      <c r="A22" s="107" t="s">
        <v>244</v>
      </c>
      <c r="B22" s="8">
        <v>182</v>
      </c>
      <c r="C22" s="9"/>
      <c r="D22" s="10"/>
    </row>
    <row r="23" spans="1:7" x14ac:dyDescent="0.25">
      <c r="A23" s="7"/>
      <c r="B23" s="11"/>
      <c r="C23" s="9"/>
      <c r="D23" s="10"/>
      <c r="E23" s="3">
        <v>10</v>
      </c>
      <c r="F23" s="3">
        <v>2</v>
      </c>
    </row>
    <row r="24" spans="1:7" x14ac:dyDescent="0.25">
      <c r="A24" s="257" t="s">
        <v>245</v>
      </c>
      <c r="B24" s="255">
        <f>VLOOKUP(A5,мкд!W:X,2,FALSE)</f>
        <v>630025.25999999989</v>
      </c>
      <c r="C24" s="9"/>
      <c r="D24" s="10"/>
      <c r="E24" s="194">
        <v>13.850000000000001</v>
      </c>
      <c r="F24" s="195">
        <v>15.503690000000001</v>
      </c>
    </row>
    <row r="25" spans="1:7" x14ac:dyDescent="0.25">
      <c r="A25" s="12" t="s">
        <v>246</v>
      </c>
      <c r="B25" s="14">
        <f>VLOOKUP(A5,мкд!W:Y,3,FALSE)</f>
        <v>638320.14</v>
      </c>
      <c r="C25" s="9"/>
      <c r="D25" s="10"/>
    </row>
    <row r="26" spans="1:7" hidden="1" x14ac:dyDescent="0.25">
      <c r="A26" s="108" t="s">
        <v>247</v>
      </c>
      <c r="B26" s="13"/>
      <c r="C26" s="9"/>
      <c r="D26" s="10"/>
    </row>
    <row r="27" spans="1:7" hidden="1" x14ac:dyDescent="0.25">
      <c r="A27" s="108" t="s">
        <v>248</v>
      </c>
      <c r="B27" s="13">
        <f>B26</f>
        <v>0</v>
      </c>
      <c r="C27" s="9"/>
      <c r="D27" s="10"/>
    </row>
    <row r="28" spans="1:7" x14ac:dyDescent="0.25">
      <c r="A28" s="12" t="s">
        <v>249</v>
      </c>
      <c r="B28" s="14">
        <v>7154.31</v>
      </c>
      <c r="C28" s="9"/>
      <c r="D28" s="10"/>
    </row>
    <row r="29" spans="1:7" hidden="1" x14ac:dyDescent="0.25">
      <c r="A29" s="108" t="s">
        <v>250</v>
      </c>
      <c r="B29" s="8"/>
      <c r="C29" s="9"/>
      <c r="D29" s="10"/>
    </row>
    <row r="30" spans="1:7" x14ac:dyDescent="0.25">
      <c r="A30" s="196"/>
      <c r="B30" s="11"/>
      <c r="C30" s="9"/>
      <c r="D30" s="10"/>
    </row>
    <row r="31" spans="1:7" x14ac:dyDescent="0.25">
      <c r="A31" s="197" t="s">
        <v>251</v>
      </c>
      <c r="B31" s="11"/>
      <c r="C31" s="9"/>
      <c r="D31" s="10"/>
    </row>
    <row r="32" spans="1:7" s="18" customFormat="1" ht="31.5" x14ac:dyDescent="0.25">
      <c r="A32" s="15" t="s">
        <v>252</v>
      </c>
      <c r="B32" s="121">
        <f>SUM(B33:B41)</f>
        <v>95693.75</v>
      </c>
      <c r="C32" s="9"/>
      <c r="D32" s="10"/>
      <c r="E32" s="17">
        <f>(B24-B84)/1.2/1.03</f>
        <v>-303951.16305583861</v>
      </c>
      <c r="F32" s="17" t="e">
        <f>(#REF!-#REF!)/1.2/1.03</f>
        <v>#REF!</v>
      </c>
      <c r="G32" s="17" t="e">
        <f>(#REF!-#REF!)/1.2/1.03</f>
        <v>#REF!</v>
      </c>
    </row>
    <row r="33" spans="1:7" x14ac:dyDescent="0.25">
      <c r="A33" s="19" t="s">
        <v>253</v>
      </c>
      <c r="B33" s="11">
        <v>36317.089999999997</v>
      </c>
      <c r="C33" s="9"/>
      <c r="D33" s="10">
        <v>32718.04</v>
      </c>
    </row>
    <row r="34" spans="1:7" hidden="1" x14ac:dyDescent="0.25">
      <c r="A34" s="19" t="s">
        <v>358</v>
      </c>
      <c r="B34" s="11">
        <v>0</v>
      </c>
      <c r="C34" s="9"/>
      <c r="D34" s="10">
        <v>0</v>
      </c>
    </row>
    <row r="35" spans="1:7" x14ac:dyDescent="0.25">
      <c r="A35" s="19" t="s">
        <v>255</v>
      </c>
      <c r="B35" s="8">
        <v>41470.97</v>
      </c>
      <c r="C35" s="9"/>
      <c r="D35" s="10">
        <v>0</v>
      </c>
    </row>
    <row r="36" spans="1:7" x14ac:dyDescent="0.25">
      <c r="A36" s="110" t="s">
        <v>256</v>
      </c>
      <c r="B36" s="8">
        <v>11608.23</v>
      </c>
      <c r="C36" s="9" t="s">
        <v>234</v>
      </c>
      <c r="D36" s="10">
        <v>0</v>
      </c>
    </row>
    <row r="37" spans="1:7" hidden="1" x14ac:dyDescent="0.25">
      <c r="A37" s="19" t="s">
        <v>257</v>
      </c>
      <c r="B37" s="11">
        <v>0</v>
      </c>
      <c r="C37" s="9"/>
      <c r="D37" s="10">
        <v>0</v>
      </c>
    </row>
    <row r="38" spans="1:7" hidden="1" x14ac:dyDescent="0.25">
      <c r="A38" s="19" t="s">
        <v>258</v>
      </c>
      <c r="B38" s="11">
        <v>0</v>
      </c>
      <c r="C38" s="9"/>
      <c r="D38" s="10">
        <v>0</v>
      </c>
    </row>
    <row r="39" spans="1:7" hidden="1" x14ac:dyDescent="0.25">
      <c r="A39" s="110" t="s">
        <v>259</v>
      </c>
      <c r="B39" s="8"/>
      <c r="C39" s="9"/>
      <c r="D39" s="10">
        <v>0</v>
      </c>
    </row>
    <row r="40" spans="1:7" x14ac:dyDescent="0.25">
      <c r="A40" s="19" t="s">
        <v>310</v>
      </c>
      <c r="B40" s="11">
        <v>6297.46</v>
      </c>
      <c r="C40" s="9"/>
      <c r="D40" s="10"/>
    </row>
    <row r="41" spans="1:7" hidden="1" x14ac:dyDescent="0.25">
      <c r="A41" s="19" t="s">
        <v>257</v>
      </c>
      <c r="B41" s="8"/>
      <c r="C41" s="9"/>
      <c r="D41" s="10"/>
    </row>
    <row r="42" spans="1:7" s="18" customFormat="1" ht="47.25" x14ac:dyDescent="0.25">
      <c r="A42" s="15" t="s">
        <v>261</v>
      </c>
      <c r="B42" s="121">
        <f>SUM(B43:B45)</f>
        <v>137482.742</v>
      </c>
      <c r="C42" s="9"/>
      <c r="D42" s="10"/>
      <c r="E42" s="17"/>
      <c r="F42" s="17"/>
      <c r="G42" s="17"/>
    </row>
    <row r="43" spans="1:7" x14ac:dyDescent="0.25">
      <c r="A43" s="19" t="s">
        <v>262</v>
      </c>
      <c r="B43" s="11">
        <v>46028</v>
      </c>
      <c r="C43" s="23"/>
      <c r="D43" s="24"/>
    </row>
    <row r="44" spans="1:7" x14ac:dyDescent="0.25">
      <c r="A44" s="19" t="s">
        <v>263</v>
      </c>
      <c r="B44" s="11">
        <v>69375.509999999995</v>
      </c>
      <c r="C44" s="23"/>
      <c r="D44" s="24"/>
    </row>
    <row r="45" spans="1:7" x14ac:dyDescent="0.25">
      <c r="A45" s="25" t="s">
        <v>264</v>
      </c>
      <c r="B45" s="11">
        <f>18000*1.12*1.0952</f>
        <v>22079.232000000004</v>
      </c>
      <c r="C45" s="23"/>
      <c r="D45" s="24"/>
    </row>
    <row r="46" spans="1:7" s="4" customFormat="1" x14ac:dyDescent="0.25">
      <c r="A46" s="15" t="s">
        <v>265</v>
      </c>
      <c r="B46" s="121">
        <f>SUM(B47:B63)</f>
        <v>61348.54</v>
      </c>
      <c r="C46" s="9"/>
      <c r="D46" s="10"/>
    </row>
    <row r="47" spans="1:7" x14ac:dyDescent="0.25">
      <c r="A47" s="19" t="s">
        <v>266</v>
      </c>
      <c r="B47" s="11">
        <v>3880.8</v>
      </c>
      <c r="C47" s="9"/>
      <c r="D47" s="10"/>
      <c r="E47" s="3" t="s">
        <v>267</v>
      </c>
    </row>
    <row r="48" spans="1:7" x14ac:dyDescent="0.25">
      <c r="A48" s="19" t="s">
        <v>268</v>
      </c>
      <c r="B48" s="11">
        <v>4712.3999999999996</v>
      </c>
      <c r="C48" s="9"/>
      <c r="D48" s="10"/>
      <c r="E48" s="3" t="s">
        <v>269</v>
      </c>
    </row>
    <row r="49" spans="1:5" hidden="1" x14ac:dyDescent="0.25">
      <c r="A49" s="111" t="s">
        <v>270</v>
      </c>
      <c r="B49" s="27">
        <v>0</v>
      </c>
      <c r="C49" s="9"/>
      <c r="D49" s="10"/>
    </row>
    <row r="50" spans="1:5" hidden="1" x14ac:dyDescent="0.25">
      <c r="A50" s="111" t="s">
        <v>271</v>
      </c>
      <c r="B50" s="27">
        <v>0</v>
      </c>
      <c r="C50" s="9"/>
      <c r="D50" s="10"/>
    </row>
    <row r="51" spans="1:5" hidden="1" x14ac:dyDescent="0.25">
      <c r="A51" s="111" t="s">
        <v>272</v>
      </c>
      <c r="B51" s="27">
        <v>0</v>
      </c>
      <c r="C51" s="9"/>
      <c r="D51" s="10"/>
    </row>
    <row r="52" spans="1:5" x14ac:dyDescent="0.25">
      <c r="A52" s="111" t="s">
        <v>518</v>
      </c>
      <c r="B52" s="8">
        <v>18604.080000000002</v>
      </c>
      <c r="C52" s="9">
        <v>0</v>
      </c>
      <c r="D52" s="10">
        <v>522.99</v>
      </c>
    </row>
    <row r="53" spans="1:5" x14ac:dyDescent="0.25">
      <c r="A53" s="111" t="s">
        <v>275</v>
      </c>
      <c r="B53" s="8">
        <v>8133.61</v>
      </c>
      <c r="C53" s="9">
        <v>1</v>
      </c>
      <c r="D53" s="28">
        <v>700.55</v>
      </c>
    </row>
    <row r="54" spans="1:5" x14ac:dyDescent="0.25">
      <c r="A54" s="111" t="s">
        <v>524</v>
      </c>
      <c r="B54" s="8">
        <v>4200</v>
      </c>
      <c r="C54" s="9"/>
      <c r="D54" s="28"/>
    </row>
    <row r="55" spans="1:5" hidden="1" x14ac:dyDescent="0.25">
      <c r="A55" s="111" t="s">
        <v>359</v>
      </c>
      <c r="B55" s="8"/>
      <c r="C55" s="9">
        <v>0</v>
      </c>
      <c r="D55" s="10">
        <f>10695.76/1.18</f>
        <v>9064.203389830509</v>
      </c>
    </row>
    <row r="56" spans="1:5" hidden="1" x14ac:dyDescent="0.25">
      <c r="A56" s="111" t="s">
        <v>342</v>
      </c>
      <c r="B56" s="8"/>
      <c r="C56" s="9">
        <v>1</v>
      </c>
      <c r="D56" s="10">
        <f>2300/1.18</f>
        <v>1949.1525423728815</v>
      </c>
    </row>
    <row r="57" spans="1:5" x14ac:dyDescent="0.25">
      <c r="A57" s="26" t="s">
        <v>281</v>
      </c>
      <c r="B57" s="11">
        <v>261</v>
      </c>
      <c r="C57" s="9">
        <v>0</v>
      </c>
      <c r="D57" s="10">
        <v>0</v>
      </c>
    </row>
    <row r="58" spans="1:5" hidden="1" x14ac:dyDescent="0.25">
      <c r="A58" s="110" t="s">
        <v>360</v>
      </c>
      <c r="B58" s="8"/>
      <c r="C58" s="9"/>
      <c r="D58" s="10"/>
    </row>
    <row r="59" spans="1:5" hidden="1" x14ac:dyDescent="0.25">
      <c r="A59" s="110" t="s">
        <v>346</v>
      </c>
      <c r="B59" s="8"/>
      <c r="C59" s="9"/>
      <c r="D59" s="10">
        <v>0</v>
      </c>
    </row>
    <row r="60" spans="1:5" x14ac:dyDescent="0.25">
      <c r="A60" s="110" t="s">
        <v>282</v>
      </c>
      <c r="B60" s="8">
        <v>15884.55</v>
      </c>
      <c r="C60" s="9"/>
      <c r="D60" s="10">
        <v>0</v>
      </c>
    </row>
    <row r="61" spans="1:5" hidden="1" x14ac:dyDescent="0.25">
      <c r="A61" s="110" t="s">
        <v>347</v>
      </c>
      <c r="B61" s="29"/>
      <c r="C61" s="30">
        <v>1</v>
      </c>
      <c r="D61" s="10">
        <v>0</v>
      </c>
    </row>
    <row r="62" spans="1:5" x14ac:dyDescent="0.25">
      <c r="A62" s="19" t="s">
        <v>283</v>
      </c>
      <c r="B62" s="31">
        <f>VLOOKUP(A5,'[2]МКД 33'!$AI:$FO,137,FALSE)</f>
        <v>5672.1</v>
      </c>
      <c r="C62" s="30">
        <v>70</v>
      </c>
      <c r="D62" s="10">
        <v>2</v>
      </c>
      <c r="E62" s="3">
        <v>0</v>
      </c>
    </row>
    <row r="63" spans="1:5" hidden="1" x14ac:dyDescent="0.25">
      <c r="A63" s="19" t="s">
        <v>284</v>
      </c>
      <c r="B63" s="31">
        <v>0</v>
      </c>
      <c r="C63" s="32">
        <v>70</v>
      </c>
      <c r="D63" s="24">
        <v>560</v>
      </c>
    </row>
    <row r="64" spans="1:5" s="4" customFormat="1" x14ac:dyDescent="0.25">
      <c r="A64" s="33" t="s">
        <v>285</v>
      </c>
      <c r="B64" s="121">
        <f>SUM(B65:B72)</f>
        <v>259066.22328000003</v>
      </c>
      <c r="C64" s="23"/>
      <c r="D64" s="24"/>
    </row>
    <row r="65" spans="1:4" hidden="1" x14ac:dyDescent="0.25">
      <c r="A65" s="19" t="s">
        <v>286</v>
      </c>
      <c r="B65" s="11">
        <v>0</v>
      </c>
      <c r="C65" s="23"/>
      <c r="D65" s="24"/>
    </row>
    <row r="66" spans="1:4" x14ac:dyDescent="0.25">
      <c r="A66" s="19" t="s">
        <v>287</v>
      </c>
      <c r="B66" s="11">
        <f>85175*1.04*1.12*1.0952</f>
        <v>108656.80716800001</v>
      </c>
      <c r="C66" s="23"/>
      <c r="D66" s="24"/>
    </row>
    <row r="67" spans="1:4" hidden="1" x14ac:dyDescent="0.25">
      <c r="A67" s="110" t="s">
        <v>288</v>
      </c>
      <c r="B67" s="8">
        <v>0</v>
      </c>
      <c r="C67" s="23"/>
      <c r="D67" s="24"/>
    </row>
    <row r="68" spans="1:4" x14ac:dyDescent="0.25">
      <c r="A68" s="25" t="s">
        <v>289</v>
      </c>
      <c r="B68" s="11">
        <f>1.35*B15</f>
        <v>4518.4500000000007</v>
      </c>
      <c r="C68" s="23"/>
      <c r="D68" s="24"/>
    </row>
    <row r="69" spans="1:4" x14ac:dyDescent="0.25">
      <c r="A69" s="103" t="s">
        <v>290</v>
      </c>
      <c r="B69" s="8">
        <f>5.06*B15</f>
        <v>16935.82</v>
      </c>
      <c r="C69" s="23"/>
      <c r="D69" s="24"/>
    </row>
    <row r="70" spans="1:4" x14ac:dyDescent="0.25">
      <c r="A70" s="25" t="s">
        <v>291</v>
      </c>
      <c r="B70" s="11">
        <f>17.68*B15</f>
        <v>59174.96</v>
      </c>
      <c r="C70" s="23"/>
      <c r="D70" s="24"/>
    </row>
    <row r="71" spans="1:4" x14ac:dyDescent="0.25">
      <c r="A71" s="25" t="s">
        <v>292</v>
      </c>
      <c r="B71" s="11">
        <f>5800*1.04*1.12*1.0952</f>
        <v>7398.9959680000011</v>
      </c>
      <c r="C71" s="23"/>
      <c r="D71" s="24"/>
    </row>
    <row r="72" spans="1:4" x14ac:dyDescent="0.25">
      <c r="A72" s="25" t="s">
        <v>293</v>
      </c>
      <c r="B72" s="11">
        <f>48900*1.04*1.12*1.0952</f>
        <v>62381.190144000007</v>
      </c>
      <c r="C72" s="23"/>
      <c r="D72" s="24"/>
    </row>
    <row r="73" spans="1:4" ht="63" x14ac:dyDescent="0.25">
      <c r="A73" s="34" t="s">
        <v>294</v>
      </c>
      <c r="B73" s="121">
        <f>SUM(B74:B74)</f>
        <v>152281.54253311999</v>
      </c>
      <c r="C73" s="23"/>
      <c r="D73" s="24"/>
    </row>
    <row r="74" spans="1:4" x14ac:dyDescent="0.25">
      <c r="A74" s="25" t="s">
        <v>295</v>
      </c>
      <c r="B74" s="11">
        <f>119372*1.04*1.12*1.0952</f>
        <v>152281.54253311999</v>
      </c>
      <c r="C74" s="23"/>
      <c r="D74" s="24"/>
    </row>
    <row r="75" spans="1:4" s="4" customFormat="1" x14ac:dyDescent="0.25">
      <c r="A75" s="33" t="s">
        <v>296</v>
      </c>
      <c r="B75" s="121">
        <f>SUM(B76:B79)</f>
        <v>107807.54000000001</v>
      </c>
      <c r="C75" s="23"/>
      <c r="D75" s="24"/>
    </row>
    <row r="76" spans="1:4" x14ac:dyDescent="0.25">
      <c r="A76" s="35" t="s">
        <v>297</v>
      </c>
      <c r="B76" s="11">
        <f>70000*1.12*1.0952</f>
        <v>85863.680000000008</v>
      </c>
      <c r="C76" s="23"/>
      <c r="D76" s="24"/>
    </row>
    <row r="77" spans="1:4" hidden="1" x14ac:dyDescent="0.25">
      <c r="A77" s="35" t="s">
        <v>298</v>
      </c>
      <c r="B77" s="11">
        <f>(B26/1.2)*30%</f>
        <v>0</v>
      </c>
      <c r="C77" s="23"/>
      <c r="D77" s="24"/>
    </row>
    <row r="78" spans="1:4" x14ac:dyDescent="0.25">
      <c r="A78" s="36" t="s">
        <v>299</v>
      </c>
      <c r="B78" s="11">
        <f>8396.58+7858.07</f>
        <v>16254.65</v>
      </c>
      <c r="C78" s="23"/>
      <c r="D78" s="24"/>
    </row>
    <row r="79" spans="1:4" x14ac:dyDescent="0.25">
      <c r="A79" s="113" t="s">
        <v>300</v>
      </c>
      <c r="B79" s="8">
        <v>5689.21</v>
      </c>
      <c r="C79" s="23">
        <f>B25/100*0.8</f>
        <v>5106.5611200000003</v>
      </c>
      <c r="D79" s="24"/>
    </row>
    <row r="80" spans="1:4" x14ac:dyDescent="0.25">
      <c r="A80" s="37" t="s">
        <v>301</v>
      </c>
      <c r="B80" s="14">
        <f>B32+B42+B46+B64+B73+B75</f>
        <v>813680.3378131201</v>
      </c>
      <c r="C80" s="23"/>
      <c r="D80" s="24"/>
    </row>
    <row r="81" spans="1:4" x14ac:dyDescent="0.25">
      <c r="A81" s="199" t="s">
        <v>302</v>
      </c>
      <c r="B81" s="11">
        <f>B80*0.03</f>
        <v>24410.410134393602</v>
      </c>
      <c r="C81" s="23"/>
      <c r="D81" s="24"/>
    </row>
    <row r="82" spans="1:4" s="18" customFormat="1" x14ac:dyDescent="0.25">
      <c r="A82" s="176" t="s">
        <v>303</v>
      </c>
      <c r="B82" s="121">
        <f>B80+B81</f>
        <v>838090.74794751371</v>
      </c>
      <c r="C82" s="23"/>
      <c r="D82" s="24"/>
    </row>
    <row r="83" spans="1:4" ht="16.5" thickBot="1" x14ac:dyDescent="0.3">
      <c r="A83" s="177" t="s">
        <v>304</v>
      </c>
      <c r="B83" s="142">
        <f>B82*0.2</f>
        <v>167618.14958950275</v>
      </c>
      <c r="C83" s="23"/>
      <c r="D83" s="24"/>
    </row>
    <row r="84" spans="1:4" s="4" customFormat="1" ht="16.5" thickBot="1" x14ac:dyDescent="0.3">
      <c r="A84" s="38" t="s">
        <v>305</v>
      </c>
      <c r="B84" s="46">
        <f>B82+B83</f>
        <v>1005708.8975370164</v>
      </c>
      <c r="C84" s="40"/>
      <c r="D84" s="41"/>
    </row>
    <row r="85" spans="1:4" s="4" customFormat="1" ht="16.5" thickBot="1" x14ac:dyDescent="0.3">
      <c r="A85" s="42" t="s">
        <v>306</v>
      </c>
      <c r="B85" s="46">
        <f>B10+B24+B26+B28+B29-B84</f>
        <v>-1503558.5575370165</v>
      </c>
      <c r="C85" s="43"/>
      <c r="D85" s="43"/>
    </row>
    <row r="86" spans="1:4" s="4" customFormat="1" ht="16.5" hidden="1" thickBot="1" x14ac:dyDescent="0.3">
      <c r="A86" s="44" t="s">
        <v>307</v>
      </c>
      <c r="B86" s="46"/>
      <c r="C86" s="43"/>
      <c r="D86" s="43"/>
    </row>
    <row r="87" spans="1:4" s="4" customFormat="1" ht="16.5" hidden="1" thickBot="1" x14ac:dyDescent="0.3">
      <c r="A87" s="45" t="s">
        <v>308</v>
      </c>
      <c r="B87" s="46"/>
      <c r="C87" s="43"/>
      <c r="D87" s="43"/>
    </row>
    <row r="88" spans="1:4" s="4" customFormat="1" x14ac:dyDescent="0.25">
      <c r="A88" s="114"/>
      <c r="B88" s="48"/>
      <c r="C88" s="43"/>
      <c r="D88" s="43"/>
    </row>
    <row r="89" spans="1:4" hidden="1" x14ac:dyDescent="0.25">
      <c r="A89" s="115"/>
      <c r="B89" s="50"/>
    </row>
    <row r="90" spans="1:4" x14ac:dyDescent="0.25">
      <c r="A90" s="267" t="s">
        <v>540</v>
      </c>
      <c r="B90" s="267"/>
    </row>
    <row r="91" spans="1:4" x14ac:dyDescent="0.25">
      <c r="A91" s="49"/>
      <c r="B91" s="51"/>
    </row>
    <row r="92" spans="1:4" x14ac:dyDescent="0.25">
      <c r="A92" s="268"/>
      <c r="B92" s="268"/>
      <c r="C92" s="51"/>
    </row>
  </sheetData>
  <autoFilter ref="A32:B87" xr:uid="{00000000-0009-0000-0000-000013000000}">
    <filterColumn colId="1">
      <filters>
        <filter val="1 005 708,90"/>
        <filter val="-1 503 558,56"/>
        <filter val="107 807,54"/>
        <filter val="108 656,81"/>
        <filter val="11 608,23"/>
        <filter val="137 482,74"/>
        <filter val="15 884,55"/>
        <filter val="152 281,54"/>
        <filter val="16 254,65"/>
        <filter val="16 935,82"/>
        <filter val="167 618,15"/>
        <filter val="18 604,08"/>
        <filter val="22 079,23"/>
        <filter val="24 410,41"/>
        <filter val="259 066,22"/>
        <filter val="261,00"/>
        <filter val="3 880,80"/>
        <filter val="36 317,09"/>
        <filter val="4 200,00"/>
        <filter val="4 518,45"/>
        <filter val="4 712,40"/>
        <filter val="41 470,97"/>
        <filter val="46 028,00"/>
        <filter val="5 672,10"/>
        <filter val="5 689,21"/>
        <filter val="59 174,96"/>
        <filter val="6 297,46"/>
        <filter val="61 348,54"/>
        <filter val="62 381,19"/>
        <filter val="69 375,51"/>
        <filter val="7 399,00"/>
        <filter val="8 133,61"/>
        <filter val="813 680,34"/>
        <filter val="838 090,75"/>
        <filter val="85 863,68"/>
      </filters>
    </filterColumn>
  </autoFilter>
  <mergeCells count="9">
    <mergeCell ref="D8:D9"/>
    <mergeCell ref="A90:B90"/>
    <mergeCell ref="A92:B92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filterMode="1">
    <pageSetUpPr fitToPage="1"/>
  </sheetPr>
  <dimension ref="A1:G95"/>
  <sheetViews>
    <sheetView view="pageBreakPreview" topLeftCell="A70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42</v>
      </c>
      <c r="B5" s="246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123055.34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8">
        <v>1126.5999999999999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8">
        <v>0</v>
      </c>
      <c r="C14" s="60"/>
      <c r="D14" s="59"/>
    </row>
    <row r="15" spans="1:4" ht="15.75" hidden="1" x14ac:dyDescent="0.25">
      <c r="A15" s="58" t="s">
        <v>237</v>
      </c>
      <c r="B15" s="8">
        <f>B13+B14</f>
        <v>1126.5999999999999</v>
      </c>
      <c r="C15" s="61"/>
      <c r="D15" s="62"/>
    </row>
    <row r="16" spans="1:4" ht="16.5" hidden="1" thickBot="1" x14ac:dyDescent="0.3">
      <c r="A16" s="58" t="s">
        <v>238</v>
      </c>
      <c r="B16" s="8">
        <f>471.5+203.7/3</f>
        <v>539.4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8">
        <f>134+34.7</f>
        <v>168.7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8">
        <v>370.5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8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8">
        <v>426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8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8">
        <v>58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275791.90000000002</v>
      </c>
      <c r="C24" s="59"/>
      <c r="D24" s="62"/>
      <c r="E24" s="194">
        <v>18</v>
      </c>
      <c r="F24" s="195">
        <v>20.1492</v>
      </c>
      <c r="G24" s="54"/>
    </row>
    <row r="25" spans="1:7" ht="16.5" thickBot="1" x14ac:dyDescent="0.3">
      <c r="A25" s="64" t="s">
        <v>318</v>
      </c>
      <c r="B25" s="14">
        <f>VLOOKUP(A5,мкд!W:Y,3,FALSE)</f>
        <v>248781.99000000002</v>
      </c>
      <c r="C25" s="63"/>
      <c r="D25" s="62"/>
      <c r="E25" s="54"/>
      <c r="F25" s="54"/>
      <c r="G25" s="54"/>
    </row>
    <row r="26" spans="1:7" ht="15.75" hidden="1" x14ac:dyDescent="0.25">
      <c r="A26" s="64" t="s">
        <v>319</v>
      </c>
      <c r="B26" s="13"/>
      <c r="C26" s="57"/>
      <c r="D26" s="59"/>
      <c r="E26" s="54"/>
      <c r="F26" s="54"/>
      <c r="G26" s="54"/>
    </row>
    <row r="27" spans="1:7" ht="16.5" hidden="1" thickBot="1" x14ac:dyDescent="0.3">
      <c r="A27" s="64" t="s">
        <v>248</v>
      </c>
      <c r="B27" s="13">
        <f>B26</f>
        <v>0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1510.2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3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83543.239999999991</v>
      </c>
      <c r="C32" s="59"/>
      <c r="D32" s="62"/>
      <c r="E32" s="67">
        <f>(B86-B26-B24)/1.2/1.03</f>
        <v>99957.290381585874</v>
      </c>
      <c r="F32" s="67" t="e">
        <f>(#REF!-#REF!-#REF!)/1.2/1.03</f>
        <v>#REF!</v>
      </c>
      <c r="G32" s="67" t="e">
        <f>(#REF!-#REF!-#REF!)/1.2/1.03</f>
        <v>#REF!</v>
      </c>
    </row>
    <row r="33" spans="1:7" ht="16.5" hidden="1" thickBot="1" x14ac:dyDescent="0.3">
      <c r="A33" s="69" t="s">
        <v>253</v>
      </c>
      <c r="B33" s="11">
        <v>0</v>
      </c>
      <c r="C33" s="63"/>
      <c r="D33" s="62">
        <v>15644.13</v>
      </c>
      <c r="E33" s="54"/>
      <c r="F33" s="54"/>
      <c r="G33" s="54"/>
    </row>
    <row r="34" spans="1:7" ht="15.75" x14ac:dyDescent="0.25">
      <c r="A34" s="69" t="s">
        <v>253</v>
      </c>
      <c r="B34" s="8">
        <v>41330.910000000003</v>
      </c>
      <c r="C34" s="57"/>
      <c r="D34" s="59">
        <v>0</v>
      </c>
      <c r="E34" s="54"/>
      <c r="F34" s="54"/>
      <c r="G34" s="54"/>
    </row>
    <row r="35" spans="1:7" ht="15.75" x14ac:dyDescent="0.25">
      <c r="A35" s="69" t="s">
        <v>256</v>
      </c>
      <c r="B35" s="8">
        <v>26863.48</v>
      </c>
      <c r="C35" s="62"/>
      <c r="D35" s="59">
        <v>0</v>
      </c>
      <c r="E35" s="54"/>
      <c r="F35" s="54"/>
      <c r="G35" s="54"/>
    </row>
    <row r="36" spans="1:7" ht="15.75" x14ac:dyDescent="0.25">
      <c r="A36" s="69" t="s">
        <v>255</v>
      </c>
      <c r="B36" s="8">
        <v>2218.4499999999998</v>
      </c>
      <c r="C36" s="62" t="s">
        <v>234</v>
      </c>
      <c r="D36" s="59">
        <v>0</v>
      </c>
      <c r="E36" s="54"/>
      <c r="F36" s="54"/>
      <c r="G36" s="54"/>
    </row>
    <row r="37" spans="1:7" ht="16.5" thickBot="1" x14ac:dyDescent="0.3">
      <c r="A37" s="69" t="s">
        <v>257</v>
      </c>
      <c r="B37" s="11">
        <v>13130.4</v>
      </c>
      <c r="C37" s="62"/>
      <c r="D37" s="59">
        <v>0</v>
      </c>
      <c r="E37" s="54"/>
      <c r="F37" s="54"/>
      <c r="G37" s="54"/>
    </row>
    <row r="38" spans="1:7" ht="16.5" hidden="1" thickBot="1" x14ac:dyDescent="0.3">
      <c r="A38" s="69" t="s">
        <v>258</v>
      </c>
      <c r="B38" s="11">
        <v>0</v>
      </c>
      <c r="C38" s="62"/>
      <c r="D38" s="59">
        <v>0</v>
      </c>
      <c r="E38" s="54"/>
      <c r="F38" s="54"/>
      <c r="G38" s="54"/>
    </row>
    <row r="39" spans="1:7" ht="16.5" hidden="1" thickBot="1" x14ac:dyDescent="0.3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6.5" hidden="1" thickBot="1" x14ac:dyDescent="0.3">
      <c r="A40" s="69" t="s">
        <v>310</v>
      </c>
      <c r="B40" s="11">
        <v>0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339</v>
      </c>
      <c r="B41" s="8"/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69106.652912859441</v>
      </c>
      <c r="C42" s="56"/>
      <c r="D42" s="62"/>
      <c r="E42" s="67"/>
      <c r="F42" s="67"/>
      <c r="G42" s="67"/>
    </row>
    <row r="43" spans="1:7" ht="15.75" hidden="1" x14ac:dyDescent="0.25">
      <c r="A43" s="69" t="s">
        <v>262</v>
      </c>
      <c r="B43" s="11"/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62382.670000000006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[3]тарифы!D163*B15*1.0952+158.77*1.12</f>
        <v>6723.9829128594401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19343.54</v>
      </c>
      <c r="C46" s="56"/>
      <c r="D46" s="62"/>
    </row>
    <row r="47" spans="1:7" ht="15.75" x14ac:dyDescent="0.25">
      <c r="A47" s="69" t="s">
        <v>324</v>
      </c>
      <c r="B47" s="11">
        <v>1556.16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1">
        <v>1889.58</v>
      </c>
      <c r="C48" s="62"/>
      <c r="D48" s="59"/>
      <c r="E48" s="54" t="s">
        <v>269</v>
      </c>
      <c r="F48" s="54"/>
      <c r="G48" s="54"/>
    </row>
    <row r="49" spans="1:5" ht="15.75" hidden="1" x14ac:dyDescent="0.25">
      <c r="A49" s="75" t="s">
        <v>270</v>
      </c>
      <c r="B49" s="8">
        <v>0</v>
      </c>
      <c r="C49" s="62"/>
      <c r="D49" s="59"/>
      <c r="E49" s="54"/>
    </row>
    <row r="50" spans="1:5" ht="15.75" hidden="1" x14ac:dyDescent="0.25">
      <c r="A50" s="75" t="s">
        <v>271</v>
      </c>
      <c r="B50" s="8">
        <v>0</v>
      </c>
      <c r="C50" s="62"/>
      <c r="D50" s="59">
        <v>4190</v>
      </c>
      <c r="E50" s="54"/>
    </row>
    <row r="51" spans="1:5" ht="15.75" hidden="1" x14ac:dyDescent="0.25">
      <c r="A51" s="75" t="s">
        <v>272</v>
      </c>
      <c r="B51" s="8">
        <v>0</v>
      </c>
      <c r="C51" s="62"/>
      <c r="D51" s="59"/>
      <c r="E51" s="54"/>
    </row>
    <row r="52" spans="1:5" ht="15.75" hidden="1" x14ac:dyDescent="0.25">
      <c r="A52" s="75" t="s">
        <v>273</v>
      </c>
      <c r="B52" s="8">
        <f>B21*[3]тарифы!D177</f>
        <v>0</v>
      </c>
      <c r="C52" s="62"/>
      <c r="D52" s="59">
        <v>105.14</v>
      </c>
      <c r="E52" s="54"/>
    </row>
    <row r="53" spans="1:5" ht="15.75" hidden="1" x14ac:dyDescent="0.25">
      <c r="A53" s="75" t="s">
        <v>274</v>
      </c>
      <c r="B53" s="8">
        <v>0</v>
      </c>
      <c r="C53" s="62">
        <v>0</v>
      </c>
      <c r="D53" s="59">
        <v>522.99</v>
      </c>
      <c r="E53" s="54"/>
    </row>
    <row r="54" spans="1:5" ht="15.75" hidden="1" x14ac:dyDescent="0.25">
      <c r="A54" s="75" t="s">
        <v>275</v>
      </c>
      <c r="B54" s="8">
        <v>0</v>
      </c>
      <c r="C54" s="62">
        <v>0</v>
      </c>
      <c r="D54" s="76">
        <v>695.13</v>
      </c>
      <c r="E54" s="54"/>
    </row>
    <row r="55" spans="1:5" ht="15.75" hidden="1" x14ac:dyDescent="0.25">
      <c r="A55" s="75" t="s">
        <v>276</v>
      </c>
      <c r="B55" s="8">
        <v>0</v>
      </c>
      <c r="C55" s="62"/>
      <c r="D55" s="76"/>
      <c r="E55" s="54"/>
    </row>
    <row r="56" spans="1:5" ht="15.75" hidden="1" x14ac:dyDescent="0.25">
      <c r="A56" s="75" t="s">
        <v>277</v>
      </c>
      <c r="B56" s="8">
        <v>0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312</v>
      </c>
      <c r="B57" s="11">
        <v>0</v>
      </c>
      <c r="C57" s="62">
        <v>0</v>
      </c>
      <c r="D57" s="59">
        <f>2300/1.18</f>
        <v>1949.1525423728815</v>
      </c>
      <c r="E57" s="54"/>
    </row>
    <row r="58" spans="1:5" ht="15.75" x14ac:dyDescent="0.25">
      <c r="A58" s="75" t="s">
        <v>314</v>
      </c>
      <c r="B58" s="8">
        <f>VLOOKUP(A5,'[2]МКД 33'!$AI:$FO,137,FALSE)</f>
        <v>6355.8000000000011</v>
      </c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8">
        <f>B13*[3]тарифы!D184</f>
        <v>0</v>
      </c>
      <c r="C59" s="56"/>
      <c r="D59" s="62"/>
      <c r="E59" s="54"/>
    </row>
    <row r="60" spans="1:5" ht="15.75" hidden="1" x14ac:dyDescent="0.25">
      <c r="A60" s="69" t="s">
        <v>279</v>
      </c>
      <c r="B60" s="8">
        <v>0</v>
      </c>
      <c r="C60" s="57"/>
      <c r="D60" s="59"/>
      <c r="E60" s="54"/>
    </row>
    <row r="61" spans="1:5" ht="15.75" hidden="1" x14ac:dyDescent="0.25">
      <c r="A61" s="69" t="s">
        <v>280</v>
      </c>
      <c r="B61" s="8">
        <v>0</v>
      </c>
      <c r="C61" s="62"/>
      <c r="D61" s="59">
        <v>0</v>
      </c>
      <c r="E61" s="54"/>
    </row>
    <row r="62" spans="1:5" ht="15.75" hidden="1" x14ac:dyDescent="0.25">
      <c r="A62" s="69" t="s">
        <v>336</v>
      </c>
      <c r="B62" s="11">
        <v>0</v>
      </c>
      <c r="C62" s="62"/>
      <c r="D62" s="59">
        <v>0</v>
      </c>
      <c r="E62" s="54"/>
    </row>
    <row r="63" spans="1:5" ht="16.5" thickBot="1" x14ac:dyDescent="0.3">
      <c r="A63" s="69" t="s">
        <v>325</v>
      </c>
      <c r="B63" s="132">
        <v>6862</v>
      </c>
      <c r="C63" s="78">
        <v>1</v>
      </c>
      <c r="D63" s="59">
        <v>0</v>
      </c>
      <c r="E63" s="54"/>
    </row>
    <row r="64" spans="1:5" ht="16.5" thickBot="1" x14ac:dyDescent="0.3">
      <c r="A64" s="69" t="s">
        <v>405</v>
      </c>
      <c r="B64" s="132">
        <v>2680</v>
      </c>
      <c r="C64" s="79">
        <v>20</v>
      </c>
      <c r="D64" s="62">
        <v>2</v>
      </c>
      <c r="E64" s="54">
        <v>1</v>
      </c>
    </row>
    <row r="65" spans="1:4" s="55" customFormat="1" ht="16.5" hidden="1" thickBot="1" x14ac:dyDescent="0.3">
      <c r="A65" s="69" t="s">
        <v>284</v>
      </c>
      <c r="B65" s="132">
        <v>0</v>
      </c>
      <c r="C65" s="80"/>
      <c r="D65" s="73">
        <v>0</v>
      </c>
    </row>
    <row r="66" spans="1:4" s="55" customFormat="1" ht="16.5" thickBot="1" x14ac:dyDescent="0.3">
      <c r="A66" s="175" t="s">
        <v>285</v>
      </c>
      <c r="B66" s="121">
        <f>SUM(B67:B74)</f>
        <v>73145.141510719986</v>
      </c>
      <c r="C66" s="56"/>
      <c r="D66" s="60"/>
    </row>
    <row r="67" spans="1:4" ht="16.5" hidden="1" thickBot="1" x14ac:dyDescent="0.3">
      <c r="A67" s="69" t="s">
        <v>286</v>
      </c>
      <c r="B67" s="8">
        <v>0</v>
      </c>
      <c r="C67" s="65"/>
      <c r="D67" s="73"/>
    </row>
    <row r="68" spans="1:4" ht="16.5" thickBot="1" x14ac:dyDescent="0.3">
      <c r="A68" s="69" t="s">
        <v>287</v>
      </c>
      <c r="B68" s="11">
        <f>19752.34*1.04*1.0952</f>
        <v>22498.07327872</v>
      </c>
      <c r="C68" s="56">
        <f>46.2*B16</f>
        <v>24920.28</v>
      </c>
      <c r="D68" s="60"/>
    </row>
    <row r="69" spans="1:4" ht="15.75" hidden="1" x14ac:dyDescent="0.25">
      <c r="A69" s="69" t="s">
        <v>288</v>
      </c>
      <c r="B69" s="8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1520.91</v>
      </c>
      <c r="C70" s="60"/>
      <c r="D70" s="73"/>
    </row>
    <row r="71" spans="1:4" ht="15.75" x14ac:dyDescent="0.25">
      <c r="A71" s="74" t="s">
        <v>290</v>
      </c>
      <c r="B71" s="11">
        <f>5.06*B15</f>
        <v>5700.5959999999995</v>
      </c>
      <c r="C71" s="81"/>
      <c r="D71" s="60"/>
    </row>
    <row r="72" spans="1:4" ht="15.75" x14ac:dyDescent="0.25">
      <c r="A72" s="74" t="s">
        <v>291</v>
      </c>
      <c r="B72" s="11">
        <f>17.68*B15</f>
        <v>19918.287999999997</v>
      </c>
      <c r="C72" s="73"/>
      <c r="D72" s="60"/>
    </row>
    <row r="73" spans="1:4" ht="15.75" x14ac:dyDescent="0.25">
      <c r="A73" s="25" t="s">
        <v>292</v>
      </c>
      <c r="B73" s="11">
        <f>2272.47*1.0952</f>
        <v>2488.8091439999998</v>
      </c>
      <c r="C73" s="73"/>
      <c r="D73" s="60"/>
    </row>
    <row r="74" spans="1:4" ht="15.75" x14ac:dyDescent="0.25">
      <c r="A74" s="74" t="s">
        <v>293</v>
      </c>
      <c r="B74" s="11">
        <f>19191.44*1.0952</f>
        <v>21018.465087999997</v>
      </c>
      <c r="C74" s="73"/>
      <c r="D74" s="60"/>
    </row>
    <row r="75" spans="1:4" ht="47.25" x14ac:dyDescent="0.25">
      <c r="A75" s="213" t="s">
        <v>326</v>
      </c>
      <c r="B75" s="121">
        <f>SUM(B76:B76)</f>
        <v>41968.403511999997</v>
      </c>
      <c r="C75" s="73"/>
      <c r="D75" s="60"/>
    </row>
    <row r="76" spans="1:4" ht="15.75" x14ac:dyDescent="0.25">
      <c r="A76" s="74" t="s">
        <v>295</v>
      </c>
      <c r="B76" s="11">
        <f>38320.31*1.0952</f>
        <v>41968.403511999997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35982.917624000002</v>
      </c>
      <c r="C77" s="73"/>
      <c r="D77" s="60"/>
    </row>
    <row r="78" spans="1:4" ht="32.25" thickBot="1" x14ac:dyDescent="0.3">
      <c r="A78" s="82" t="s">
        <v>327</v>
      </c>
      <c r="B78" s="11">
        <f>27174.7*1.0952</f>
        <v>29761.73144</v>
      </c>
      <c r="C78" s="63"/>
      <c r="D78" s="60"/>
    </row>
    <row r="79" spans="1:4" ht="16.5" hidden="1" thickBot="1" x14ac:dyDescent="0.3">
      <c r="A79" s="35" t="s">
        <v>298</v>
      </c>
      <c r="B79" s="8">
        <f>(B26/1.2)*30%</f>
        <v>0</v>
      </c>
      <c r="C79" s="65"/>
      <c r="D79" s="73"/>
    </row>
    <row r="80" spans="1:4" ht="15.75" x14ac:dyDescent="0.25">
      <c r="A80" s="83" t="s">
        <v>328</v>
      </c>
      <c r="B80" s="11">
        <f>1864.75+1645.63</f>
        <v>3510.38</v>
      </c>
      <c r="C80" s="81"/>
      <c r="D80" s="60"/>
    </row>
    <row r="81" spans="1:4" ht="15.75" x14ac:dyDescent="0.25">
      <c r="A81" s="83" t="s">
        <v>329</v>
      </c>
      <c r="B81" s="11">
        <f>2475.17*1.0952</f>
        <v>2710.806184</v>
      </c>
      <c r="C81" s="73"/>
      <c r="D81" s="60"/>
    </row>
    <row r="82" spans="1:4" ht="15.75" x14ac:dyDescent="0.25">
      <c r="A82" s="214" t="s">
        <v>301</v>
      </c>
      <c r="B82" s="14">
        <f>B32+B42+B46+B66+B75+B77</f>
        <v>323089.89555957943</v>
      </c>
      <c r="C82" s="73"/>
      <c r="D82" s="60"/>
    </row>
    <row r="83" spans="1:4" ht="15.75" x14ac:dyDescent="0.25">
      <c r="A83" s="215" t="s">
        <v>302</v>
      </c>
      <c r="B83" s="11">
        <f>B82*0.03</f>
        <v>9692.6968667873825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332782.59242636681</v>
      </c>
      <c r="C84" s="73"/>
      <c r="D84" s="60"/>
    </row>
    <row r="85" spans="1:4" ht="16.5" thickBot="1" x14ac:dyDescent="0.3">
      <c r="A85" s="217" t="s">
        <v>304</v>
      </c>
      <c r="B85" s="142">
        <f>B84*0.2</f>
        <v>66556.518485273366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399339.11091164016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1018.3290883598384</v>
      </c>
      <c r="C87" s="85"/>
      <c r="D87" s="86"/>
    </row>
    <row r="88" spans="1:4" s="55" customFormat="1" ht="16.5" hidden="1" thickBot="1" x14ac:dyDescent="0.3">
      <c r="A88" s="87" t="s">
        <v>307</v>
      </c>
      <c r="B88" s="39"/>
      <c r="C88" s="88"/>
      <c r="D88" s="86"/>
    </row>
    <row r="89" spans="1:4" s="55" customFormat="1" ht="16.5" hidden="1" thickBot="1" x14ac:dyDescent="0.3">
      <c r="A89" s="89" t="s">
        <v>308</v>
      </c>
      <c r="B89" s="39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14000000}">
    <filterColumn colId="1">
      <filters>
        <filter val="1 018,33"/>
        <filter val="1 520,91"/>
        <filter val="1 556,16"/>
        <filter val="1 889,58"/>
        <filter val="13 130,40"/>
        <filter val="19 343,54"/>
        <filter val="19 918,29"/>
        <filter val="2 218,45"/>
        <filter val="2 488,81"/>
        <filter val="2 680,00"/>
        <filter val="2 710,81"/>
        <filter val="21 018,47"/>
        <filter val="22 498,07"/>
        <filter val="26 863,48"/>
        <filter val="29 761,73"/>
        <filter val="3 510,38"/>
        <filter val="323 089,90"/>
        <filter val="332 782,59"/>
        <filter val="35 982,92"/>
        <filter val="399 339,11"/>
        <filter val="41 330,91"/>
        <filter val="41 968,40"/>
        <filter val="5 700,60"/>
        <filter val="6 355,80"/>
        <filter val="6 723,98"/>
        <filter val="6 862,00"/>
        <filter val="62 382,67"/>
        <filter val="66 556,52"/>
        <filter val="69 106,65"/>
        <filter val="73 145,14"/>
        <filter val="83 543,24"/>
        <filter val="9 692,7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filterMode="1">
    <pageSetUpPr fitToPage="1"/>
  </sheetPr>
  <dimension ref="A1:G90"/>
  <sheetViews>
    <sheetView view="pageBreakPreview" topLeftCell="A62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44</v>
      </c>
      <c r="B5" s="185"/>
      <c r="C5" s="3"/>
      <c r="D5" s="3"/>
    </row>
    <row r="6" spans="1:4" ht="5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71" t="s">
        <v>227</v>
      </c>
      <c r="B8" s="273" t="s">
        <v>228</v>
      </c>
      <c r="C8" s="265" t="s">
        <v>229</v>
      </c>
      <c r="D8" s="265" t="s">
        <v>230</v>
      </c>
    </row>
    <row r="9" spans="1:4" ht="13.5" thickBot="1" x14ac:dyDescent="0.25">
      <c r="A9" s="272"/>
      <c r="B9" s="274"/>
      <c r="C9" s="266"/>
      <c r="D9" s="266"/>
    </row>
    <row r="10" spans="1:4" ht="16.5" thickBot="1" x14ac:dyDescent="0.25">
      <c r="A10" s="187" t="s">
        <v>231</v>
      </c>
      <c r="B10" s="188">
        <f>VLOOKUP(A5,мкд!S:T,2,FALSE)</f>
        <v>-1116645.2</v>
      </c>
      <c r="C10" s="189"/>
      <c r="D10" s="189"/>
    </row>
    <row r="11" spans="1:4" ht="16.5" hidden="1" thickBot="1" x14ac:dyDescent="0.25">
      <c r="A11" s="190" t="s">
        <v>232</v>
      </c>
      <c r="B11" s="188"/>
      <c r="C11" s="191"/>
      <c r="D11" s="191"/>
    </row>
    <row r="12" spans="1:4" ht="15.75" x14ac:dyDescent="0.25">
      <c r="A12" s="192" t="s">
        <v>233</v>
      </c>
      <c r="B12" s="193"/>
      <c r="C12" s="5" t="s">
        <v>234</v>
      </c>
      <c r="D12" s="6" t="s">
        <v>234</v>
      </c>
    </row>
    <row r="13" spans="1:4" ht="15.75" hidden="1" x14ac:dyDescent="0.25">
      <c r="A13" s="7" t="s">
        <v>235</v>
      </c>
      <c r="B13" s="8">
        <v>3381.9</v>
      </c>
      <c r="C13" s="9" t="s">
        <v>234</v>
      </c>
      <c r="D13" s="10" t="s">
        <v>234</v>
      </c>
    </row>
    <row r="14" spans="1:4" ht="15.75" hidden="1" x14ac:dyDescent="0.25">
      <c r="A14" s="7" t="s">
        <v>236</v>
      </c>
      <c r="B14" s="8">
        <v>0</v>
      </c>
      <c r="C14" s="9"/>
      <c r="D14" s="10"/>
    </row>
    <row r="15" spans="1:4" ht="15.75" hidden="1" x14ac:dyDescent="0.25">
      <c r="A15" s="7" t="s">
        <v>237</v>
      </c>
      <c r="B15" s="8">
        <f>B13+B14</f>
        <v>3381.9</v>
      </c>
      <c r="C15" s="9"/>
      <c r="D15" s="10"/>
    </row>
    <row r="16" spans="1:4" ht="15.75" hidden="1" x14ac:dyDescent="0.25">
      <c r="A16" s="7" t="s">
        <v>238</v>
      </c>
      <c r="B16" s="8">
        <f>1441.2+3503/3</f>
        <v>2608.8666666666668</v>
      </c>
      <c r="C16" s="9" t="s">
        <v>234</v>
      </c>
      <c r="D16" s="10" t="s">
        <v>234</v>
      </c>
    </row>
    <row r="17" spans="1:7" ht="15.75" hidden="1" x14ac:dyDescent="0.25">
      <c r="A17" s="7" t="s">
        <v>239</v>
      </c>
      <c r="B17" s="8">
        <v>0</v>
      </c>
      <c r="C17" s="9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7" t="s">
        <v>240</v>
      </c>
      <c r="B18" s="8">
        <v>936.5</v>
      </c>
      <c r="C18" s="9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7" t="s">
        <v>241</v>
      </c>
      <c r="B19" s="8">
        <v>0</v>
      </c>
      <c r="C19" s="9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7" t="s">
        <v>242</v>
      </c>
      <c r="B20" s="8">
        <v>900</v>
      </c>
      <c r="C20" s="9"/>
      <c r="D20" s="10"/>
      <c r="E20" s="3"/>
      <c r="F20" s="3"/>
      <c r="G20" s="3"/>
    </row>
    <row r="21" spans="1:7" ht="15.75" hidden="1" x14ac:dyDescent="0.25">
      <c r="A21" s="7" t="s">
        <v>243</v>
      </c>
      <c r="B21" s="8">
        <v>0</v>
      </c>
      <c r="C21" s="9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7" t="s">
        <v>244</v>
      </c>
      <c r="B22" s="8">
        <v>200</v>
      </c>
      <c r="C22" s="9"/>
      <c r="D22" s="10"/>
      <c r="E22" s="3"/>
      <c r="F22" s="3"/>
      <c r="G22" s="3"/>
    </row>
    <row r="23" spans="1:7" ht="15.75" x14ac:dyDescent="0.25">
      <c r="A23" s="7"/>
      <c r="B23" s="11"/>
      <c r="C23" s="9"/>
      <c r="D23" s="10"/>
      <c r="E23" s="3">
        <v>12</v>
      </c>
      <c r="F23" s="3"/>
      <c r="G23" s="3"/>
    </row>
    <row r="24" spans="1:7" ht="15.75" x14ac:dyDescent="0.25">
      <c r="A24" s="257" t="s">
        <v>245</v>
      </c>
      <c r="B24" s="255">
        <f>VLOOKUP(A5,мкд!W:X,2,FALSE)</f>
        <v>549396.12</v>
      </c>
      <c r="C24" s="9"/>
      <c r="D24" s="10"/>
      <c r="E24" s="194">
        <v>13.54</v>
      </c>
      <c r="F24" s="3"/>
      <c r="G24" s="3"/>
    </row>
    <row r="25" spans="1:7" ht="15.75" x14ac:dyDescent="0.25">
      <c r="A25" s="12" t="s">
        <v>246</v>
      </c>
      <c r="B25" s="14">
        <f>VLOOKUP(A5,мкд!W:Y,3,FALSE)</f>
        <v>569909.94999999995</v>
      </c>
      <c r="C25" s="9"/>
      <c r="D25" s="10"/>
      <c r="E25" s="3"/>
      <c r="F25" s="3"/>
      <c r="G25" s="3"/>
    </row>
    <row r="26" spans="1:7" ht="15.75" hidden="1" x14ac:dyDescent="0.25">
      <c r="A26" s="12" t="s">
        <v>247</v>
      </c>
      <c r="B26" s="14"/>
      <c r="C26" s="9"/>
      <c r="D26" s="10"/>
      <c r="E26" s="3"/>
      <c r="F26" s="3"/>
      <c r="G26" s="3"/>
    </row>
    <row r="27" spans="1:7" ht="15.75" hidden="1" x14ac:dyDescent="0.25">
      <c r="A27" s="12" t="s">
        <v>248</v>
      </c>
      <c r="B27" s="14">
        <f>B26</f>
        <v>0</v>
      </c>
      <c r="C27" s="9"/>
      <c r="D27" s="10"/>
      <c r="E27" s="3"/>
      <c r="F27" s="3"/>
      <c r="G27" s="3"/>
    </row>
    <row r="28" spans="1:7" ht="15.75" x14ac:dyDescent="0.25">
      <c r="A28" s="12" t="s">
        <v>249</v>
      </c>
      <c r="B28" s="14">
        <v>9097.23</v>
      </c>
      <c r="C28" s="9"/>
      <c r="D28" s="10"/>
      <c r="E28" s="3"/>
      <c r="F28" s="3"/>
      <c r="G28" s="3"/>
    </row>
    <row r="29" spans="1:7" ht="15.75" hidden="1" x14ac:dyDescent="0.25">
      <c r="A29" s="12" t="s">
        <v>250</v>
      </c>
      <c r="B29" s="11"/>
      <c r="C29" s="9"/>
      <c r="D29" s="10"/>
      <c r="E29" s="3"/>
      <c r="F29" s="3"/>
      <c r="G29" s="3"/>
    </row>
    <row r="30" spans="1:7" ht="15.75" x14ac:dyDescent="0.25">
      <c r="A30" s="196"/>
      <c r="B30" s="11"/>
      <c r="C30" s="9"/>
      <c r="D30" s="10"/>
      <c r="E30" s="3"/>
      <c r="F30" s="3"/>
      <c r="G30" s="3"/>
    </row>
    <row r="31" spans="1:7" ht="15.75" x14ac:dyDescent="0.25">
      <c r="A31" s="197" t="s">
        <v>251</v>
      </c>
      <c r="B31" s="11"/>
      <c r="C31" s="9"/>
      <c r="D31" s="10"/>
      <c r="E31" s="3"/>
      <c r="F31" s="3"/>
      <c r="G31" s="3"/>
    </row>
    <row r="32" spans="1:7" s="18" customFormat="1" ht="31.5" x14ac:dyDescent="0.25">
      <c r="A32" s="15" t="s">
        <v>252</v>
      </c>
      <c r="B32" s="121">
        <f>SUM(B33:B41)</f>
        <v>115466.82</v>
      </c>
      <c r="C32" s="9"/>
      <c r="D32" s="10"/>
      <c r="E32" s="17">
        <f>(B24-B78)/1.2/1.03</f>
        <v>-488546.6448549935</v>
      </c>
      <c r="F32" s="17" t="e">
        <f>(#REF!-#REF!)/1.2/1.03</f>
        <v>#REF!</v>
      </c>
      <c r="G32" s="17" t="e">
        <f>(#REF!-#REF!)/1.2/1.03</f>
        <v>#REF!</v>
      </c>
    </row>
    <row r="33" spans="1:7" ht="15.75" x14ac:dyDescent="0.25">
      <c r="A33" s="19" t="s">
        <v>253</v>
      </c>
      <c r="B33" s="11">
        <v>77880.12</v>
      </c>
      <c r="C33" s="9"/>
      <c r="D33" s="10">
        <v>41127.42</v>
      </c>
      <c r="E33" s="3"/>
      <c r="F33" s="3"/>
      <c r="G33" s="3"/>
    </row>
    <row r="34" spans="1:7" ht="15.75" hidden="1" x14ac:dyDescent="0.25">
      <c r="A34" s="91" t="s">
        <v>361</v>
      </c>
      <c r="B34" s="116"/>
      <c r="C34" s="9"/>
      <c r="D34" s="10">
        <v>0</v>
      </c>
      <c r="E34" s="3"/>
      <c r="F34" s="3"/>
      <c r="G34" s="3"/>
    </row>
    <row r="35" spans="1:7" ht="15.75" x14ac:dyDescent="0.25">
      <c r="A35" s="71" t="s">
        <v>256</v>
      </c>
      <c r="B35" s="117">
        <v>11376.04</v>
      </c>
      <c r="C35" s="9"/>
      <c r="D35" s="10">
        <v>0</v>
      </c>
      <c r="E35" s="3"/>
      <c r="F35" s="3"/>
      <c r="G35" s="3"/>
    </row>
    <row r="36" spans="1:7" ht="15.75" x14ac:dyDescent="0.25">
      <c r="A36" s="91" t="s">
        <v>255</v>
      </c>
      <c r="B36" s="118">
        <v>13080.260000000002</v>
      </c>
      <c r="C36" s="9" t="s">
        <v>234</v>
      </c>
      <c r="D36" s="10">
        <v>0</v>
      </c>
      <c r="E36" s="3"/>
      <c r="F36" s="3"/>
      <c r="G36" s="3"/>
    </row>
    <row r="37" spans="1:7" ht="15.75" hidden="1" x14ac:dyDescent="0.25">
      <c r="A37" s="198" t="s">
        <v>364</v>
      </c>
      <c r="B37" s="173"/>
      <c r="C37" s="9"/>
      <c r="D37" s="10">
        <v>0</v>
      </c>
      <c r="E37" s="3"/>
      <c r="F37" s="3"/>
      <c r="G37" s="3"/>
    </row>
    <row r="38" spans="1:7" ht="15.75" hidden="1" x14ac:dyDescent="0.25">
      <c r="A38" s="198" t="s">
        <v>365</v>
      </c>
      <c r="B38" s="173"/>
      <c r="C38" s="9"/>
      <c r="D38" s="10">
        <v>0</v>
      </c>
      <c r="E38" s="3"/>
      <c r="F38" s="3"/>
      <c r="G38" s="3"/>
    </row>
    <row r="39" spans="1:7" ht="15.75" hidden="1" x14ac:dyDescent="0.25">
      <c r="A39" s="20" t="s">
        <v>366</v>
      </c>
      <c r="B39" s="21"/>
      <c r="C39" s="9"/>
      <c r="D39" s="10">
        <v>0</v>
      </c>
      <c r="E39" s="3"/>
      <c r="F39" s="3"/>
      <c r="G39" s="3"/>
    </row>
    <row r="40" spans="1:7" ht="15.75" x14ac:dyDescent="0.25">
      <c r="A40" s="69" t="s">
        <v>257</v>
      </c>
      <c r="B40" s="11">
        <v>13130.4</v>
      </c>
      <c r="C40" s="9"/>
      <c r="D40" s="10"/>
      <c r="E40" s="3"/>
      <c r="F40" s="3"/>
      <c r="G40" s="3"/>
    </row>
    <row r="41" spans="1:7" ht="15.75" hidden="1" x14ac:dyDescent="0.25">
      <c r="A41" s="19" t="s">
        <v>311</v>
      </c>
      <c r="B41" s="11">
        <v>0</v>
      </c>
      <c r="C41" s="9"/>
      <c r="D41" s="10"/>
      <c r="E41" s="3"/>
      <c r="F41" s="3"/>
      <c r="G41" s="3"/>
    </row>
    <row r="42" spans="1:7" s="18" customFormat="1" ht="47.25" x14ac:dyDescent="0.25">
      <c r="A42" s="15" t="s">
        <v>261</v>
      </c>
      <c r="B42" s="121">
        <f>SUM(B43:B45)</f>
        <v>240452.93200000003</v>
      </c>
      <c r="C42" s="9"/>
      <c r="D42" s="10"/>
      <c r="E42" s="17"/>
      <c r="F42" s="17"/>
      <c r="G42" s="17"/>
    </row>
    <row r="43" spans="1:7" ht="15.75" hidden="1" x14ac:dyDescent="0.25">
      <c r="A43" s="19" t="s">
        <v>262</v>
      </c>
      <c r="B43" s="11"/>
      <c r="C43" s="23"/>
      <c r="D43" s="24"/>
      <c r="E43" s="3"/>
      <c r="F43" s="3"/>
      <c r="G43" s="3"/>
    </row>
    <row r="44" spans="1:7" ht="15.75" x14ac:dyDescent="0.25">
      <c r="A44" s="19" t="s">
        <v>263</v>
      </c>
      <c r="B44" s="11">
        <v>218373.70000000004</v>
      </c>
      <c r="C44" s="23"/>
      <c r="D44" s="24"/>
      <c r="E44" s="3"/>
      <c r="F44" s="3"/>
      <c r="G44" s="3"/>
    </row>
    <row r="45" spans="1:7" ht="15.75" x14ac:dyDescent="0.25">
      <c r="A45" s="25" t="s">
        <v>264</v>
      </c>
      <c r="B45" s="11">
        <f>18000*1.12*1.0952</f>
        <v>22079.232000000004</v>
      </c>
      <c r="C45" s="23"/>
      <c r="D45" s="24"/>
      <c r="E45" s="3"/>
      <c r="F45" s="3"/>
      <c r="G45" s="3"/>
    </row>
    <row r="46" spans="1:7" s="4" customFormat="1" ht="15.75" x14ac:dyDescent="0.25">
      <c r="A46" s="15" t="s">
        <v>265</v>
      </c>
      <c r="B46" s="121">
        <f>SUM(B47:B57)</f>
        <v>54619.33</v>
      </c>
      <c r="C46" s="9"/>
      <c r="D46" s="10"/>
    </row>
    <row r="47" spans="1:7" ht="15.75" x14ac:dyDescent="0.25">
      <c r="A47" s="19" t="s">
        <v>266</v>
      </c>
      <c r="B47" s="11">
        <v>3933.36</v>
      </c>
      <c r="C47" s="9"/>
      <c r="D47" s="10"/>
      <c r="E47" s="3" t="s">
        <v>267</v>
      </c>
      <c r="F47" s="3"/>
      <c r="G47" s="3"/>
    </row>
    <row r="48" spans="1:7" ht="15.75" x14ac:dyDescent="0.25">
      <c r="A48" s="19" t="s">
        <v>268</v>
      </c>
      <c r="B48" s="11">
        <v>4776.18</v>
      </c>
      <c r="C48" s="9"/>
      <c r="D48" s="10"/>
      <c r="E48" s="3" t="s">
        <v>269</v>
      </c>
      <c r="F48" s="3"/>
      <c r="G48" s="3"/>
    </row>
    <row r="49" spans="1:5" ht="15.75" hidden="1" x14ac:dyDescent="0.25">
      <c r="A49" s="26" t="s">
        <v>270</v>
      </c>
      <c r="B49" s="10">
        <v>0</v>
      </c>
      <c r="C49" s="9"/>
      <c r="D49" s="10"/>
      <c r="E49" s="3"/>
    </row>
    <row r="50" spans="1:5" ht="15.75" hidden="1" x14ac:dyDescent="0.25">
      <c r="A50" s="26" t="s">
        <v>344</v>
      </c>
      <c r="B50" s="27"/>
      <c r="C50" s="9"/>
      <c r="D50" s="10"/>
      <c r="E50" s="3"/>
    </row>
    <row r="51" spans="1:5" ht="17.25" customHeight="1" x14ac:dyDescent="0.25">
      <c r="A51" s="26" t="s">
        <v>281</v>
      </c>
      <c r="B51" s="27">
        <v>549.6</v>
      </c>
      <c r="C51" s="9"/>
      <c r="D51" s="10"/>
      <c r="E51" s="3"/>
    </row>
    <row r="52" spans="1:5" ht="17.25" customHeight="1" x14ac:dyDescent="0.25">
      <c r="A52" s="26" t="s">
        <v>475</v>
      </c>
      <c r="B52" s="27">
        <v>2585.42</v>
      </c>
      <c r="C52" s="9"/>
      <c r="D52" s="10"/>
      <c r="E52" s="3"/>
    </row>
    <row r="53" spans="1:5" ht="15.75" customHeight="1" x14ac:dyDescent="0.25">
      <c r="A53" s="26" t="s">
        <v>520</v>
      </c>
      <c r="B53" s="8">
        <v>4200</v>
      </c>
      <c r="C53" s="9">
        <v>0</v>
      </c>
      <c r="D53" s="10">
        <v>522.99</v>
      </c>
      <c r="E53" s="3"/>
    </row>
    <row r="54" spans="1:5" ht="15.75" x14ac:dyDescent="0.25">
      <c r="A54" s="26" t="s">
        <v>275</v>
      </c>
      <c r="B54" s="8">
        <v>8133.61</v>
      </c>
      <c r="C54" s="9">
        <v>1</v>
      </c>
      <c r="D54" s="28">
        <v>700.55</v>
      </c>
      <c r="E54" s="3"/>
    </row>
    <row r="55" spans="1:5" ht="15.75" x14ac:dyDescent="0.25">
      <c r="A55" s="19" t="s">
        <v>325</v>
      </c>
      <c r="B55" s="29">
        <v>16881.37</v>
      </c>
      <c r="C55" s="30">
        <v>1</v>
      </c>
      <c r="D55" s="10">
        <v>0</v>
      </c>
      <c r="E55" s="3"/>
    </row>
    <row r="56" spans="1:5" ht="15.75" x14ac:dyDescent="0.25">
      <c r="A56" s="19" t="s">
        <v>518</v>
      </c>
      <c r="B56" s="31">
        <v>13559.79</v>
      </c>
      <c r="C56" s="30">
        <v>70</v>
      </c>
      <c r="D56" s="10">
        <v>2</v>
      </c>
      <c r="E56" s="3">
        <v>0</v>
      </c>
    </row>
    <row r="57" spans="1:5" ht="15.75" hidden="1" x14ac:dyDescent="0.25">
      <c r="A57" s="19" t="s">
        <v>284</v>
      </c>
      <c r="B57" s="31">
        <v>0</v>
      </c>
      <c r="C57" s="32"/>
      <c r="D57" s="24">
        <v>0</v>
      </c>
      <c r="E57" s="3"/>
    </row>
    <row r="58" spans="1:5" s="4" customFormat="1" ht="15.75" x14ac:dyDescent="0.25">
      <c r="A58" s="33" t="s">
        <v>285</v>
      </c>
      <c r="B58" s="16">
        <f>SUM(B59:B66)</f>
        <v>280256.75456992001</v>
      </c>
      <c r="C58" s="23"/>
      <c r="D58" s="24"/>
    </row>
    <row r="59" spans="1:5" ht="15.75" hidden="1" x14ac:dyDescent="0.25">
      <c r="A59" s="19" t="s">
        <v>286</v>
      </c>
      <c r="B59" s="11">
        <v>0</v>
      </c>
      <c r="C59" s="23"/>
      <c r="D59" s="24"/>
      <c r="E59" s="3"/>
    </row>
    <row r="60" spans="1:5" ht="15.75" x14ac:dyDescent="0.25">
      <c r="A60" s="19" t="s">
        <v>287</v>
      </c>
      <c r="B60" s="8">
        <f>100479*1.04*1.12*1.0952</f>
        <v>128179.95101184001</v>
      </c>
      <c r="C60" s="23"/>
      <c r="D60" s="24"/>
      <c r="E60" s="3"/>
    </row>
    <row r="61" spans="1:5" ht="15.75" hidden="1" x14ac:dyDescent="0.25">
      <c r="A61" s="19" t="s">
        <v>288</v>
      </c>
      <c r="B61" s="11">
        <v>0</v>
      </c>
      <c r="C61" s="23"/>
      <c r="D61" s="24"/>
      <c r="E61" s="3"/>
    </row>
    <row r="62" spans="1:5" ht="15.75" x14ac:dyDescent="0.25">
      <c r="A62" s="25" t="s">
        <v>289</v>
      </c>
      <c r="B62" s="11">
        <f>1.35*B15</f>
        <v>4565.5650000000005</v>
      </c>
      <c r="C62" s="23"/>
      <c r="D62" s="24"/>
      <c r="E62" s="3"/>
    </row>
    <row r="63" spans="1:5" ht="15.75" x14ac:dyDescent="0.25">
      <c r="A63" s="25" t="s">
        <v>290</v>
      </c>
      <c r="B63" s="11">
        <f>5.06*B15</f>
        <v>17112.414000000001</v>
      </c>
      <c r="C63" s="23"/>
      <c r="D63" s="24"/>
      <c r="E63" s="3"/>
    </row>
    <row r="64" spans="1:5" ht="15.75" x14ac:dyDescent="0.25">
      <c r="A64" s="25" t="s">
        <v>291</v>
      </c>
      <c r="B64" s="11">
        <f>17.68*B15</f>
        <v>59791.991999999998</v>
      </c>
      <c r="C64" s="23"/>
      <c r="D64" s="24"/>
      <c r="E64" s="3"/>
    </row>
    <row r="65" spans="1:4" ht="15.75" x14ac:dyDescent="0.25">
      <c r="A65" s="25" t="s">
        <v>292</v>
      </c>
      <c r="B65" s="11">
        <f>5860*1.04*1.12*1.0952</f>
        <v>7475.5373056000008</v>
      </c>
      <c r="C65" s="23"/>
      <c r="D65" s="24"/>
    </row>
    <row r="66" spans="1:4" ht="15.75" x14ac:dyDescent="0.25">
      <c r="A66" s="25" t="s">
        <v>293</v>
      </c>
      <c r="B66" s="11">
        <f>49488*1.04*1.12*1.0952</f>
        <v>63131.295252480006</v>
      </c>
      <c r="C66" s="23"/>
      <c r="D66" s="24"/>
    </row>
    <row r="67" spans="1:4" ht="63" x14ac:dyDescent="0.25">
      <c r="A67" s="34" t="s">
        <v>294</v>
      </c>
      <c r="B67" s="16">
        <f>SUM(B68:B68)</f>
        <v>132017.22340352001</v>
      </c>
      <c r="C67" s="23"/>
      <c r="D67" s="24"/>
    </row>
    <row r="68" spans="1:4" ht="15.75" x14ac:dyDescent="0.25">
      <c r="A68" s="25" t="s">
        <v>295</v>
      </c>
      <c r="B68" s="11">
        <f>103487*1.04*1.12*1.0952</f>
        <v>132017.22340352001</v>
      </c>
      <c r="C68" s="23"/>
      <c r="D68" s="24"/>
    </row>
    <row r="69" spans="1:4" s="4" customFormat="1" ht="15.75" x14ac:dyDescent="0.25">
      <c r="A69" s="33" t="s">
        <v>296</v>
      </c>
      <c r="B69" s="16">
        <f>SUM(B70:B73)</f>
        <v>110228.8276</v>
      </c>
      <c r="C69" s="23"/>
      <c r="D69" s="24"/>
    </row>
    <row r="70" spans="1:4" ht="15.75" x14ac:dyDescent="0.25">
      <c r="A70" s="35" t="s">
        <v>297</v>
      </c>
      <c r="B70" s="11">
        <f>72000*1.12*1.0952</f>
        <v>88316.928000000014</v>
      </c>
      <c r="C70" s="23"/>
      <c r="D70" s="24"/>
    </row>
    <row r="71" spans="1:4" ht="15.75" hidden="1" x14ac:dyDescent="0.25">
      <c r="A71" s="35" t="s">
        <v>298</v>
      </c>
      <c r="B71" s="11">
        <f>(B26/1.2)*30%</f>
        <v>0</v>
      </c>
      <c r="C71" s="23"/>
      <c r="D71" s="24"/>
    </row>
    <row r="72" spans="1:4" ht="15.75" x14ac:dyDescent="0.25">
      <c r="A72" s="36" t="s">
        <v>299</v>
      </c>
      <c r="B72" s="11">
        <f>9348.36+8004.26</f>
        <v>17352.620000000003</v>
      </c>
      <c r="C72" s="23"/>
      <c r="D72" s="24"/>
    </row>
    <row r="73" spans="1:4" ht="15.75" x14ac:dyDescent="0.25">
      <c r="A73" s="36" t="s">
        <v>300</v>
      </c>
      <c r="B73" s="11">
        <f>B25/100*0.8</f>
        <v>4559.2795999999998</v>
      </c>
      <c r="C73" s="23"/>
      <c r="D73" s="24"/>
    </row>
    <row r="74" spans="1:4" ht="15.75" x14ac:dyDescent="0.25">
      <c r="A74" s="37" t="s">
        <v>301</v>
      </c>
      <c r="B74" s="14">
        <f>B32+B42+B46+B58+B67+B69</f>
        <v>933041.88757344009</v>
      </c>
      <c r="C74" s="23"/>
      <c r="D74" s="24"/>
    </row>
    <row r="75" spans="1:4" ht="15.75" x14ac:dyDescent="0.25">
      <c r="A75" s="199" t="s">
        <v>302</v>
      </c>
      <c r="B75" s="11">
        <f>B74*0.03</f>
        <v>27991.256627203202</v>
      </c>
      <c r="C75" s="23"/>
      <c r="D75" s="24"/>
    </row>
    <row r="76" spans="1:4" s="18" customFormat="1" ht="15.75" x14ac:dyDescent="0.25">
      <c r="A76" s="176" t="s">
        <v>303</v>
      </c>
      <c r="B76" s="121">
        <f>B74+B75</f>
        <v>961033.14420064329</v>
      </c>
      <c r="C76" s="23"/>
      <c r="D76" s="24"/>
    </row>
    <row r="77" spans="1:4" ht="16.5" thickBot="1" x14ac:dyDescent="0.3">
      <c r="A77" s="177" t="s">
        <v>304</v>
      </c>
      <c r="B77" s="142">
        <f>B76*0.2</f>
        <v>192206.62884012866</v>
      </c>
      <c r="C77" s="23"/>
      <c r="D77" s="24"/>
    </row>
    <row r="78" spans="1:4" s="4" customFormat="1" ht="16.5" thickBot="1" x14ac:dyDescent="0.3">
      <c r="A78" s="38" t="s">
        <v>305</v>
      </c>
      <c r="B78" s="46">
        <f>B76+B77</f>
        <v>1153239.773040772</v>
      </c>
      <c r="C78" s="40"/>
      <c r="D78" s="41"/>
    </row>
    <row r="79" spans="1:4" s="4" customFormat="1" ht="16.5" thickBot="1" x14ac:dyDescent="0.3">
      <c r="A79" s="42" t="s">
        <v>306</v>
      </c>
      <c r="B79" s="39">
        <f>B10+B24+B26+B28+B29-B78</f>
        <v>-1711391.623040772</v>
      </c>
      <c r="C79" s="43"/>
      <c r="D79" s="43"/>
    </row>
    <row r="80" spans="1:4" s="4" customFormat="1" ht="16.5" hidden="1" thickBot="1" x14ac:dyDescent="0.3">
      <c r="A80" s="44" t="s">
        <v>307</v>
      </c>
      <c r="B80" s="46"/>
      <c r="C80" s="43"/>
      <c r="D80" s="43"/>
    </row>
    <row r="81" spans="1:4" s="4" customFormat="1" ht="16.5" hidden="1" thickBot="1" x14ac:dyDescent="0.3">
      <c r="A81" s="45" t="s">
        <v>308</v>
      </c>
      <c r="B81" s="46"/>
      <c r="C81" s="43"/>
      <c r="D81" s="43"/>
    </row>
    <row r="82" spans="1:4" s="4" customFormat="1" ht="15.75" x14ac:dyDescent="0.25">
      <c r="A82" s="47"/>
      <c r="B82" s="200"/>
      <c r="C82" s="43"/>
      <c r="D82" s="43"/>
    </row>
    <row r="83" spans="1:4" ht="15.75" x14ac:dyDescent="0.25">
      <c r="A83" s="49"/>
      <c r="B83" s="3"/>
      <c r="C83" s="3"/>
      <c r="D83" s="3"/>
    </row>
    <row r="84" spans="1:4" ht="15.75" x14ac:dyDescent="0.25">
      <c r="A84" s="267" t="s">
        <v>540</v>
      </c>
      <c r="B84" s="267"/>
      <c r="C84" s="3"/>
      <c r="D84" s="3"/>
    </row>
    <row r="85" spans="1:4" ht="15.75" x14ac:dyDescent="0.25">
      <c r="A85" s="49"/>
      <c r="B85" s="51"/>
      <c r="C85" s="3"/>
      <c r="D85" s="3"/>
    </row>
    <row r="86" spans="1:4" ht="15.75" x14ac:dyDescent="0.25">
      <c r="A86" s="268"/>
      <c r="B86" s="268"/>
      <c r="C86" s="51"/>
      <c r="D86" s="3"/>
    </row>
    <row r="89" spans="1:4" ht="15.75" hidden="1" x14ac:dyDescent="0.25">
      <c r="A89" s="3"/>
      <c r="B89" s="50"/>
      <c r="C89" s="3"/>
      <c r="D89" s="3"/>
    </row>
    <row r="90" spans="1:4" ht="15.75" x14ac:dyDescent="0.25">
      <c r="A90" s="3"/>
      <c r="B90" s="3"/>
      <c r="C90" s="3"/>
      <c r="D90" s="3"/>
    </row>
  </sheetData>
  <autoFilter ref="A32:B81" xr:uid="{00000000-0009-0000-0000-000015000000}">
    <filterColumn colId="1">
      <filters>
        <filter val="1 153 239,77"/>
        <filter val="-1 711 391,62"/>
        <filter val="110 228,83"/>
        <filter val="11376,04"/>
        <filter val="128 179,95"/>
        <filter val="13 080,26"/>
        <filter val="13 130,40"/>
        <filter val="13 559,79"/>
        <filter val="132 017,22"/>
        <filter val="16 881,37"/>
        <filter val="17 112,41"/>
        <filter val="17 352,62"/>
        <filter val="192 206,63"/>
        <filter val="2 585,42"/>
        <filter val="218 373,70"/>
        <filter val="22 079,23"/>
        <filter val="240 452,93"/>
        <filter val="27 991,26"/>
        <filter val="280 256,75"/>
        <filter val="3 933,36"/>
        <filter val="4 200,00"/>
        <filter val="4 559,28"/>
        <filter val="4 565,57"/>
        <filter val="4 776,18"/>
        <filter val="54 619,33"/>
        <filter val="549,60"/>
        <filter val="59 791,99"/>
        <filter val="63 131,30"/>
        <filter val="7 475,54"/>
        <filter val="77 880,12"/>
        <filter val="8 133,61"/>
        <filter val="88 316,93"/>
        <filter val="933 041,89"/>
        <filter val="961 033,14"/>
      </filters>
    </filterColumn>
  </autoFilter>
  <mergeCells count="9">
    <mergeCell ref="D8:D9"/>
    <mergeCell ref="A84:B84"/>
    <mergeCell ref="A86:B86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filterMode="1">
    <pageSetUpPr fitToPage="1"/>
  </sheetPr>
  <dimension ref="A1:G93"/>
  <sheetViews>
    <sheetView view="pageBreakPreview" topLeftCell="A66" zoomScale="80" zoomScaleNormal="100" zoomScaleSheetLayoutView="80" workbookViewId="0">
      <selection activeCell="A24" sqref="A24:B24"/>
    </sheetView>
  </sheetViews>
  <sheetFormatPr defaultRowHeight="15.75" x14ac:dyDescent="0.25"/>
  <cols>
    <col min="1" max="1" width="91.5703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269" t="s">
        <v>224</v>
      </c>
      <c r="B1" s="269"/>
    </row>
    <row r="2" spans="1:4" ht="16.5" x14ac:dyDescent="0.25">
      <c r="A2" s="270" t="s">
        <v>225</v>
      </c>
      <c r="B2" s="270"/>
    </row>
    <row r="3" spans="1:4" ht="16.5" x14ac:dyDescent="0.25">
      <c r="A3" s="270" t="s">
        <v>226</v>
      </c>
      <c r="B3" s="270"/>
    </row>
    <row r="4" spans="1:4" x14ac:dyDescent="0.25">
      <c r="A4" s="184" t="s">
        <v>494</v>
      </c>
      <c r="B4" s="184"/>
    </row>
    <row r="5" spans="1:4" x14ac:dyDescent="0.25">
      <c r="A5" s="184" t="s">
        <v>59</v>
      </c>
      <c r="B5" s="185"/>
    </row>
    <row r="6" spans="1:4" ht="5.25" customHeight="1" x14ac:dyDescent="0.25">
      <c r="A6" s="184"/>
      <c r="B6" s="4"/>
      <c r="C6" s="4"/>
    </row>
    <row r="7" spans="1:4" ht="16.5" thickBot="1" x14ac:dyDescent="0.3">
      <c r="A7" s="186"/>
      <c r="B7" s="4"/>
      <c r="C7" s="4"/>
    </row>
    <row r="8" spans="1:4" ht="15.75" customHeight="1" x14ac:dyDescent="0.25">
      <c r="A8" s="271" t="s">
        <v>227</v>
      </c>
      <c r="B8" s="273" t="s">
        <v>228</v>
      </c>
      <c r="C8" s="265" t="s">
        <v>229</v>
      </c>
      <c r="D8" s="265" t="s">
        <v>230</v>
      </c>
    </row>
    <row r="9" spans="1:4" ht="16.5" thickBot="1" x14ac:dyDescent="0.3">
      <c r="A9" s="272"/>
      <c r="B9" s="274"/>
      <c r="C9" s="266"/>
      <c r="D9" s="266"/>
    </row>
    <row r="10" spans="1:4" ht="16.5" thickBot="1" x14ac:dyDescent="0.3">
      <c r="A10" s="187" t="s">
        <v>231</v>
      </c>
      <c r="B10" s="188">
        <f>VLOOKUP(A5,мкд!S:T,2,FALSE)</f>
        <v>100060.05</v>
      </c>
      <c r="C10" s="189"/>
      <c r="D10" s="189"/>
    </row>
    <row r="11" spans="1:4" ht="16.5" hidden="1" thickBot="1" x14ac:dyDescent="0.3">
      <c r="A11" s="190" t="s">
        <v>232</v>
      </c>
      <c r="B11" s="188"/>
      <c r="C11" s="191"/>
      <c r="D11" s="191"/>
    </row>
    <row r="12" spans="1:4" x14ac:dyDescent="0.25">
      <c r="A12" s="192" t="s">
        <v>233</v>
      </c>
      <c r="B12" s="193"/>
      <c r="C12" s="5" t="s">
        <v>234</v>
      </c>
      <c r="D12" s="6" t="s">
        <v>234</v>
      </c>
    </row>
    <row r="13" spans="1:4" hidden="1" x14ac:dyDescent="0.25">
      <c r="A13" s="7" t="s">
        <v>235</v>
      </c>
      <c r="B13" s="8">
        <v>4747.6000000000004</v>
      </c>
      <c r="C13" s="9" t="s">
        <v>234</v>
      </c>
      <c r="D13" s="10" t="s">
        <v>234</v>
      </c>
    </row>
    <row r="14" spans="1:4" hidden="1" x14ac:dyDescent="0.25">
      <c r="A14" s="7" t="s">
        <v>236</v>
      </c>
      <c r="B14" s="8">
        <v>136.6</v>
      </c>
      <c r="C14" s="9"/>
      <c r="D14" s="10"/>
    </row>
    <row r="15" spans="1:4" hidden="1" x14ac:dyDescent="0.25">
      <c r="A15" s="7" t="s">
        <v>237</v>
      </c>
      <c r="B15" s="8">
        <f>B13+B14</f>
        <v>4884.2000000000007</v>
      </c>
      <c r="C15" s="9"/>
      <c r="D15" s="10"/>
    </row>
    <row r="16" spans="1:4" hidden="1" x14ac:dyDescent="0.25">
      <c r="A16" s="7" t="s">
        <v>238</v>
      </c>
      <c r="B16" s="8">
        <f>1553.3+3536.2/3</f>
        <v>2732.0333333333333</v>
      </c>
      <c r="C16" s="9" t="s">
        <v>234</v>
      </c>
      <c r="D16" s="10" t="s">
        <v>234</v>
      </c>
    </row>
    <row r="17" spans="1:7" hidden="1" x14ac:dyDescent="0.25">
      <c r="A17" s="7" t="s">
        <v>239</v>
      </c>
      <c r="B17" s="8">
        <f>228.6+894</f>
        <v>1122.5999999999999</v>
      </c>
      <c r="C17" s="9" t="s">
        <v>234</v>
      </c>
      <c r="D17" s="10" t="s">
        <v>234</v>
      </c>
    </row>
    <row r="18" spans="1:7" hidden="1" x14ac:dyDescent="0.25">
      <c r="A18" s="7" t="s">
        <v>240</v>
      </c>
      <c r="B18" s="8">
        <v>857.3</v>
      </c>
      <c r="C18" s="9" t="s">
        <v>234</v>
      </c>
      <c r="D18" s="10" t="s">
        <v>234</v>
      </c>
    </row>
    <row r="19" spans="1:7" hidden="1" x14ac:dyDescent="0.25">
      <c r="A19" s="7" t="s">
        <v>241</v>
      </c>
      <c r="B19" s="8">
        <v>787</v>
      </c>
      <c r="C19" s="9" t="s">
        <v>234</v>
      </c>
      <c r="D19" s="10" t="s">
        <v>234</v>
      </c>
    </row>
    <row r="20" spans="1:7" hidden="1" x14ac:dyDescent="0.25">
      <c r="A20" s="7" t="s">
        <v>242</v>
      </c>
      <c r="B20" s="8">
        <v>943</v>
      </c>
      <c r="C20" s="9"/>
      <c r="D20" s="10"/>
    </row>
    <row r="21" spans="1:7" hidden="1" x14ac:dyDescent="0.25">
      <c r="A21" s="7" t="s">
        <v>243</v>
      </c>
      <c r="B21" s="8">
        <v>1</v>
      </c>
      <c r="C21" s="9" t="s">
        <v>234</v>
      </c>
      <c r="D21" s="10" t="s">
        <v>234</v>
      </c>
    </row>
    <row r="22" spans="1:7" hidden="1" x14ac:dyDescent="0.25">
      <c r="A22" s="7" t="s">
        <v>244</v>
      </c>
      <c r="B22" s="8">
        <v>285</v>
      </c>
      <c r="C22" s="9"/>
      <c r="D22" s="10"/>
    </row>
    <row r="23" spans="1:7" x14ac:dyDescent="0.25">
      <c r="A23" s="7"/>
      <c r="B23" s="11"/>
      <c r="C23" s="9"/>
      <c r="D23" s="10"/>
      <c r="E23" s="3">
        <v>10</v>
      </c>
      <c r="F23" s="3">
        <v>2</v>
      </c>
    </row>
    <row r="24" spans="1:7" x14ac:dyDescent="0.25">
      <c r="A24" s="257" t="s">
        <v>245</v>
      </c>
      <c r="B24" s="255">
        <f>VLOOKUP(A5,мкд!W:X,2,FALSE)</f>
        <v>1161689.1199999999</v>
      </c>
      <c r="C24" s="9"/>
      <c r="D24" s="10"/>
      <c r="E24" s="194">
        <v>18.470000016299998</v>
      </c>
      <c r="F24" s="195">
        <v>20.675318018246216</v>
      </c>
    </row>
    <row r="25" spans="1:7" x14ac:dyDescent="0.25">
      <c r="A25" s="12" t="s">
        <v>246</v>
      </c>
      <c r="B25" s="14">
        <f>VLOOKUP(A5,мкд!W:Y,3,FALSE)</f>
        <v>1105999.3999999999</v>
      </c>
      <c r="C25" s="9"/>
      <c r="D25" s="10"/>
    </row>
    <row r="26" spans="1:7" x14ac:dyDescent="0.25">
      <c r="A26" s="12" t="s">
        <v>247</v>
      </c>
      <c r="B26" s="13">
        <v>34107.65</v>
      </c>
      <c r="C26" s="9"/>
      <c r="D26" s="10"/>
    </row>
    <row r="27" spans="1:7" x14ac:dyDescent="0.25">
      <c r="A27" s="12" t="s">
        <v>248</v>
      </c>
      <c r="B27" s="13">
        <v>25423.98</v>
      </c>
      <c r="C27" s="9"/>
      <c r="D27" s="10"/>
    </row>
    <row r="28" spans="1:7" x14ac:dyDescent="0.25">
      <c r="A28" s="12" t="s">
        <v>249</v>
      </c>
      <c r="B28" s="14">
        <v>9097.23</v>
      </c>
      <c r="C28" s="9"/>
      <c r="D28" s="10"/>
    </row>
    <row r="29" spans="1:7" x14ac:dyDescent="0.25">
      <c r="A29" s="12" t="s">
        <v>250</v>
      </c>
      <c r="B29" s="11"/>
      <c r="C29" s="9"/>
      <c r="D29" s="10"/>
    </row>
    <row r="30" spans="1:7" x14ac:dyDescent="0.25">
      <c r="A30" s="196"/>
      <c r="B30" s="11"/>
      <c r="C30" s="9"/>
      <c r="D30" s="10"/>
    </row>
    <row r="31" spans="1:7" x14ac:dyDescent="0.25">
      <c r="A31" s="197" t="s">
        <v>251</v>
      </c>
      <c r="B31" s="11"/>
      <c r="C31" s="9"/>
      <c r="D31" s="10"/>
    </row>
    <row r="32" spans="1:7" s="18" customFormat="1" ht="31.5" x14ac:dyDescent="0.25">
      <c r="A32" s="15" t="s">
        <v>252</v>
      </c>
      <c r="B32" s="121">
        <f>SUM(B33:B41)</f>
        <v>145776.77239999999</v>
      </c>
      <c r="C32" s="9"/>
      <c r="D32" s="10"/>
      <c r="E32" s="17">
        <f>(B26+B24-B85)/1.2/1.03</f>
        <v>-313043.60991086892</v>
      </c>
      <c r="F32" s="17" t="e">
        <f>(#REF!+#REF!-#REF!)/1.2/1.03</f>
        <v>#REF!</v>
      </c>
      <c r="G32" s="17" t="e">
        <f>(#REF!+#REF!-#REF!)/1.2/1.03</f>
        <v>#REF!</v>
      </c>
    </row>
    <row r="33" spans="1:7" x14ac:dyDescent="0.25">
      <c r="A33" s="19" t="s">
        <v>253</v>
      </c>
      <c r="B33" s="11">
        <f>73212*1.0952</f>
        <v>80181.782399999996</v>
      </c>
      <c r="C33" s="9"/>
      <c r="D33" s="10">
        <v>40014.22</v>
      </c>
      <c r="E33" s="3">
        <v>36.200000000000003</v>
      </c>
    </row>
    <row r="34" spans="1:7" hidden="1" x14ac:dyDescent="0.25">
      <c r="A34" s="19" t="s">
        <v>254</v>
      </c>
      <c r="B34" s="8"/>
      <c r="C34" s="9"/>
      <c r="D34" s="10">
        <v>0</v>
      </c>
      <c r="E34" s="3">
        <v>36.1</v>
      </c>
    </row>
    <row r="35" spans="1:7" x14ac:dyDescent="0.25">
      <c r="A35" s="19" t="s">
        <v>255</v>
      </c>
      <c r="B35" s="8">
        <v>12457.140000000001</v>
      </c>
      <c r="C35" s="9"/>
      <c r="D35" s="10">
        <v>0</v>
      </c>
      <c r="E35" s="3">
        <v>102.4</v>
      </c>
    </row>
    <row r="36" spans="1:7" x14ac:dyDescent="0.25">
      <c r="A36" s="91" t="s">
        <v>256</v>
      </c>
      <c r="B36" s="116">
        <v>44924.33</v>
      </c>
      <c r="C36" s="9" t="s">
        <v>234</v>
      </c>
      <c r="D36" s="10">
        <v>0</v>
      </c>
      <c r="E36" s="3">
        <v>84.5</v>
      </c>
    </row>
    <row r="37" spans="1:7" x14ac:dyDescent="0.25">
      <c r="A37" s="19" t="s">
        <v>257</v>
      </c>
      <c r="B37" s="11">
        <v>8213.52</v>
      </c>
      <c r="C37" s="9"/>
      <c r="D37" s="10">
        <v>0</v>
      </c>
      <c r="E37" s="3">
        <v>30.5</v>
      </c>
    </row>
    <row r="38" spans="1:7" hidden="1" x14ac:dyDescent="0.25">
      <c r="A38" s="19" t="s">
        <v>258</v>
      </c>
      <c r="B38" s="11">
        <v>0</v>
      </c>
      <c r="C38" s="9"/>
      <c r="D38" s="10">
        <v>0</v>
      </c>
    </row>
    <row r="39" spans="1:7" hidden="1" x14ac:dyDescent="0.25">
      <c r="A39" s="19" t="s">
        <v>259</v>
      </c>
      <c r="B39" s="11">
        <v>0</v>
      </c>
      <c r="C39" s="9"/>
      <c r="D39" s="10">
        <v>0</v>
      </c>
    </row>
    <row r="40" spans="1:7" hidden="1" x14ac:dyDescent="0.25">
      <c r="A40" s="19" t="s">
        <v>310</v>
      </c>
      <c r="B40" s="11">
        <v>0</v>
      </c>
      <c r="C40" s="9"/>
      <c r="D40" s="10"/>
    </row>
    <row r="41" spans="1:7" hidden="1" x14ac:dyDescent="0.25">
      <c r="A41" s="19" t="s">
        <v>339</v>
      </c>
      <c r="B41" s="8"/>
      <c r="C41" s="9"/>
      <c r="D41" s="10"/>
    </row>
    <row r="42" spans="1:7" s="18" customFormat="1" ht="47.25" x14ac:dyDescent="0.25">
      <c r="A42" s="15" t="s">
        <v>261</v>
      </c>
      <c r="B42" s="121">
        <f>SUM(B43:B45)</f>
        <v>321031.7476</v>
      </c>
      <c r="C42" s="9"/>
      <c r="D42" s="10"/>
      <c r="E42" s="17"/>
      <c r="F42" s="17"/>
      <c r="G42" s="17"/>
    </row>
    <row r="43" spans="1:7" x14ac:dyDescent="0.25">
      <c r="A43" s="19" t="s">
        <v>262</v>
      </c>
      <c r="B43" s="11">
        <v>31824.989999999998</v>
      </c>
      <c r="C43" s="23"/>
      <c r="D43" s="24"/>
      <c r="E43" s="3">
        <v>75.900000000000006</v>
      </c>
    </row>
    <row r="44" spans="1:7" x14ac:dyDescent="0.25">
      <c r="A44" s="19" t="s">
        <v>263</v>
      </c>
      <c r="B44" s="11">
        <v>272819.28000000003</v>
      </c>
      <c r="C44" s="23"/>
      <c r="D44" s="24"/>
      <c r="E44" s="3">
        <v>84</v>
      </c>
    </row>
    <row r="45" spans="1:7" x14ac:dyDescent="0.25">
      <c r="A45" s="25" t="s">
        <v>264</v>
      </c>
      <c r="B45" s="11">
        <f>14963*1.0952</f>
        <v>16387.477599999998</v>
      </c>
      <c r="C45" s="23"/>
      <c r="D45" s="24"/>
    </row>
    <row r="46" spans="1:7" s="4" customFormat="1" x14ac:dyDescent="0.25">
      <c r="A46" s="15" t="s">
        <v>265</v>
      </c>
      <c r="B46" s="121">
        <f>SUM(B47:B65)</f>
        <v>82089.02</v>
      </c>
      <c r="C46" s="9"/>
      <c r="D46" s="10"/>
    </row>
    <row r="47" spans="1:7" x14ac:dyDescent="0.25">
      <c r="A47" s="19" t="s">
        <v>266</v>
      </c>
      <c r="B47" s="11">
        <v>1886.06</v>
      </c>
      <c r="C47" s="9"/>
      <c r="D47" s="10"/>
      <c r="E47" s="3" t="s">
        <v>267</v>
      </c>
    </row>
    <row r="48" spans="1:7" x14ac:dyDescent="0.25">
      <c r="A48" s="19" t="s">
        <v>268</v>
      </c>
      <c r="B48" s="11">
        <v>5538.06</v>
      </c>
      <c r="C48" s="9"/>
      <c r="D48" s="10"/>
      <c r="E48" s="3" t="s">
        <v>269</v>
      </c>
    </row>
    <row r="49" spans="1:5" hidden="1" x14ac:dyDescent="0.25">
      <c r="A49" s="26" t="s">
        <v>345</v>
      </c>
      <c r="B49" s="27"/>
      <c r="C49" s="9">
        <v>1</v>
      </c>
      <c r="D49" s="10">
        <v>4632.04</v>
      </c>
    </row>
    <row r="50" spans="1:5" hidden="1" x14ac:dyDescent="0.25">
      <c r="A50" s="26" t="s">
        <v>271</v>
      </c>
      <c r="B50" s="10">
        <v>0</v>
      </c>
      <c r="C50" s="9">
        <v>1</v>
      </c>
      <c r="D50" s="10">
        <v>4190</v>
      </c>
    </row>
    <row r="51" spans="1:5" hidden="1" x14ac:dyDescent="0.25">
      <c r="A51" s="26" t="s">
        <v>272</v>
      </c>
      <c r="B51" s="10">
        <v>0</v>
      </c>
      <c r="C51" s="9">
        <v>1</v>
      </c>
      <c r="D51" s="10">
        <v>0</v>
      </c>
    </row>
    <row r="52" spans="1:5" x14ac:dyDescent="0.25">
      <c r="A52" s="26" t="s">
        <v>520</v>
      </c>
      <c r="B52" s="27">
        <v>4200</v>
      </c>
      <c r="C52" s="9">
        <v>1</v>
      </c>
      <c r="D52" s="10">
        <v>105.14</v>
      </c>
    </row>
    <row r="53" spans="1:5" hidden="1" x14ac:dyDescent="0.25">
      <c r="A53" s="26" t="s">
        <v>274</v>
      </c>
      <c r="B53" s="11">
        <v>0</v>
      </c>
      <c r="C53" s="9">
        <v>0</v>
      </c>
      <c r="D53" s="10">
        <v>522.99</v>
      </c>
    </row>
    <row r="54" spans="1:5" x14ac:dyDescent="0.25">
      <c r="A54" s="26" t="s">
        <v>275</v>
      </c>
      <c r="B54" s="8">
        <v>6100</v>
      </c>
      <c r="C54" s="9">
        <v>1</v>
      </c>
      <c r="D54" s="28">
        <v>700.55</v>
      </c>
    </row>
    <row r="55" spans="1:5" hidden="1" x14ac:dyDescent="0.25">
      <c r="A55" s="26" t="s">
        <v>276</v>
      </c>
      <c r="B55" s="11">
        <v>0</v>
      </c>
      <c r="C55" s="9"/>
      <c r="D55" s="28"/>
    </row>
    <row r="56" spans="1:5" hidden="1" x14ac:dyDescent="0.25">
      <c r="A56" s="26" t="s">
        <v>277</v>
      </c>
      <c r="B56" s="11">
        <v>0</v>
      </c>
      <c r="C56" s="9">
        <v>0</v>
      </c>
      <c r="D56" s="10">
        <f>10695.76/1.18</f>
        <v>9064.203389830509</v>
      </c>
    </row>
    <row r="57" spans="1:5" hidden="1" x14ac:dyDescent="0.25">
      <c r="A57" s="26" t="s">
        <v>312</v>
      </c>
      <c r="B57" s="11">
        <v>0</v>
      </c>
      <c r="C57" s="9">
        <v>0</v>
      </c>
      <c r="D57" s="10">
        <f>2300/1.18</f>
        <v>1949.1525423728815</v>
      </c>
    </row>
    <row r="58" spans="1:5" hidden="1" x14ac:dyDescent="0.25">
      <c r="A58" s="26" t="s">
        <v>313</v>
      </c>
      <c r="B58" s="11">
        <v>0</v>
      </c>
      <c r="C58" s="9">
        <v>0</v>
      </c>
      <c r="D58" s="10">
        <v>0</v>
      </c>
    </row>
    <row r="59" spans="1:5" x14ac:dyDescent="0.25">
      <c r="A59" s="26" t="s">
        <v>390</v>
      </c>
      <c r="B59" s="8">
        <f>64.66+840</f>
        <v>904.66</v>
      </c>
      <c r="C59" s="9"/>
      <c r="D59" s="10"/>
    </row>
    <row r="60" spans="1:5" hidden="1" x14ac:dyDescent="0.25">
      <c r="A60" s="19" t="s">
        <v>279</v>
      </c>
      <c r="B60" s="11">
        <v>0</v>
      </c>
      <c r="C60" s="9"/>
      <c r="D60" s="10"/>
    </row>
    <row r="61" spans="1:5" hidden="1" x14ac:dyDescent="0.25">
      <c r="A61" s="19" t="s">
        <v>280</v>
      </c>
      <c r="B61" s="11">
        <v>0</v>
      </c>
      <c r="C61" s="9"/>
      <c r="D61" s="10">
        <v>0</v>
      </c>
    </row>
    <row r="62" spans="1:5" hidden="1" x14ac:dyDescent="0.25">
      <c r="A62" s="19" t="s">
        <v>336</v>
      </c>
      <c r="B62" s="11">
        <v>0</v>
      </c>
      <c r="C62" s="9"/>
      <c r="D62" s="10">
        <v>0</v>
      </c>
    </row>
    <row r="63" spans="1:5" x14ac:dyDescent="0.25">
      <c r="A63" s="19" t="s">
        <v>325</v>
      </c>
      <c r="B63" s="31">
        <v>63460.24</v>
      </c>
      <c r="C63" s="30">
        <v>1</v>
      </c>
      <c r="D63" s="10">
        <v>0</v>
      </c>
    </row>
    <row r="64" spans="1:5" hidden="1" x14ac:dyDescent="0.25">
      <c r="A64" s="19" t="s">
        <v>344</v>
      </c>
      <c r="B64" s="31"/>
      <c r="C64" s="30">
        <v>144</v>
      </c>
      <c r="D64" s="10">
        <v>2</v>
      </c>
      <c r="E64" s="3">
        <v>0</v>
      </c>
    </row>
    <row r="65" spans="1:4" hidden="1" x14ac:dyDescent="0.25">
      <c r="A65" s="19" t="s">
        <v>284</v>
      </c>
      <c r="B65" s="31">
        <v>0</v>
      </c>
      <c r="C65" s="32"/>
      <c r="D65" s="24">
        <v>0</v>
      </c>
    </row>
    <row r="66" spans="1:4" s="4" customFormat="1" x14ac:dyDescent="0.25">
      <c r="A66" s="33" t="s">
        <v>285</v>
      </c>
      <c r="B66" s="121">
        <f>SUM(B67:B73)</f>
        <v>343013.81189760001</v>
      </c>
      <c r="C66" s="23"/>
      <c r="D66" s="24"/>
    </row>
    <row r="67" spans="1:4" hidden="1" x14ac:dyDescent="0.25">
      <c r="A67" s="19" t="s">
        <v>286</v>
      </c>
      <c r="B67" s="11">
        <v>0</v>
      </c>
      <c r="C67" s="23"/>
      <c r="D67" s="24"/>
    </row>
    <row r="68" spans="1:4" x14ac:dyDescent="0.25">
      <c r="A68" s="19" t="s">
        <v>287</v>
      </c>
      <c r="B68" s="11">
        <f>106272*1.04*1.12*1.05</f>
        <v>129974.90688000002</v>
      </c>
      <c r="C68" s="23">
        <f>46.2*B16</f>
        <v>126219.94</v>
      </c>
      <c r="D68" s="24"/>
    </row>
    <row r="69" spans="1:4" hidden="1" x14ac:dyDescent="0.25">
      <c r="A69" s="19" t="s">
        <v>288</v>
      </c>
      <c r="B69" s="11">
        <v>0</v>
      </c>
      <c r="C69" s="23"/>
      <c r="D69" s="24"/>
    </row>
    <row r="70" spans="1:4" x14ac:dyDescent="0.25">
      <c r="A70" s="25" t="s">
        <v>290</v>
      </c>
      <c r="B70" s="11">
        <f>5.06*B15</f>
        <v>24714.052000000003</v>
      </c>
      <c r="C70" s="23"/>
      <c r="D70" s="24"/>
    </row>
    <row r="71" spans="1:4" x14ac:dyDescent="0.25">
      <c r="A71" s="25" t="s">
        <v>291</v>
      </c>
      <c r="B71" s="11">
        <f>17.68*B15</f>
        <v>86352.656000000017</v>
      </c>
      <c r="C71" s="23"/>
      <c r="D71" s="24"/>
    </row>
    <row r="72" spans="1:4" x14ac:dyDescent="0.25">
      <c r="A72" s="25" t="s">
        <v>292</v>
      </c>
      <c r="B72" s="11">
        <f>8464*1.04*1.12*1.0952</f>
        <v>10797.43135744</v>
      </c>
      <c r="C72" s="23"/>
      <c r="D72" s="24"/>
    </row>
    <row r="73" spans="1:4" x14ac:dyDescent="0.25">
      <c r="A73" s="25" t="s">
        <v>293</v>
      </c>
      <c r="B73" s="11">
        <f>71471*1.04*1.12*1.0952</f>
        <v>91174.765660160003</v>
      </c>
      <c r="C73" s="23"/>
      <c r="D73" s="24"/>
    </row>
    <row r="74" spans="1:4" ht="63" x14ac:dyDescent="0.25">
      <c r="A74" s="34" t="s">
        <v>294</v>
      </c>
      <c r="B74" s="121">
        <f>SUM(B75:B75)</f>
        <v>214280.26079999999</v>
      </c>
      <c r="C74" s="23"/>
      <c r="D74" s="24"/>
    </row>
    <row r="75" spans="1:4" x14ac:dyDescent="0.25">
      <c r="A75" s="25" t="s">
        <v>295</v>
      </c>
      <c r="B75" s="11">
        <f>195654*1.0952</f>
        <v>214280.26079999999</v>
      </c>
      <c r="C75" s="23">
        <f>33.98*B15</f>
        <v>165965.11600000001</v>
      </c>
      <c r="D75" s="24"/>
    </row>
    <row r="76" spans="1:4" s="4" customFormat="1" x14ac:dyDescent="0.25">
      <c r="A76" s="33" t="s">
        <v>296</v>
      </c>
      <c r="B76" s="121">
        <f>SUM(B77:B80)</f>
        <v>174325.1121</v>
      </c>
      <c r="C76" s="23"/>
      <c r="D76" s="24"/>
    </row>
    <row r="77" spans="1:4" x14ac:dyDescent="0.25">
      <c r="A77" s="35" t="s">
        <v>297</v>
      </c>
      <c r="B77" s="11">
        <f>108647*1.0952</f>
        <v>118990.19439999999</v>
      </c>
      <c r="C77" s="23"/>
      <c r="D77" s="24"/>
    </row>
    <row r="78" spans="1:4" x14ac:dyDescent="0.25">
      <c r="A78" s="35" t="s">
        <v>298</v>
      </c>
      <c r="B78" s="11">
        <f>(B26/1.2)*30%</f>
        <v>8526.9125000000004</v>
      </c>
      <c r="C78" s="23"/>
      <c r="D78" s="24"/>
    </row>
    <row r="79" spans="1:4" x14ac:dyDescent="0.25">
      <c r="A79" s="36" t="s">
        <v>299</v>
      </c>
      <c r="B79" s="8">
        <f>19858.34+18101.67</f>
        <v>37960.009999999995</v>
      </c>
      <c r="C79" s="23"/>
      <c r="D79" s="24"/>
    </row>
    <row r="80" spans="1:4" x14ac:dyDescent="0.25">
      <c r="A80" s="36" t="s">
        <v>300</v>
      </c>
      <c r="B80" s="11">
        <f>B25/100*0.8</f>
        <v>8847.9951999999994</v>
      </c>
      <c r="C80" s="23"/>
      <c r="D80" s="24"/>
    </row>
    <row r="81" spans="1:4" x14ac:dyDescent="0.25">
      <c r="A81" s="37" t="s">
        <v>301</v>
      </c>
      <c r="B81" s="14">
        <f>B32+B42+B46+B66+B74+B76</f>
        <v>1280516.7247976002</v>
      </c>
      <c r="C81" s="23"/>
      <c r="D81" s="24"/>
    </row>
    <row r="82" spans="1:4" x14ac:dyDescent="0.25">
      <c r="A82" s="199" t="s">
        <v>302</v>
      </c>
      <c r="B82" s="11">
        <f>B81*0.03</f>
        <v>38415.501743928005</v>
      </c>
      <c r="C82" s="23"/>
      <c r="D82" s="24"/>
    </row>
    <row r="83" spans="1:4" s="18" customFormat="1" x14ac:dyDescent="0.25">
      <c r="A83" s="176" t="s">
        <v>303</v>
      </c>
      <c r="B83" s="121">
        <f>B81+B82</f>
        <v>1318932.2265415282</v>
      </c>
      <c r="C83" s="23"/>
      <c r="D83" s="24"/>
    </row>
    <row r="84" spans="1:4" ht="16.5" thickBot="1" x14ac:dyDescent="0.3">
      <c r="A84" s="177" t="s">
        <v>304</v>
      </c>
      <c r="B84" s="142">
        <f>B83*0.2</f>
        <v>263786.44530830567</v>
      </c>
      <c r="C84" s="23"/>
      <c r="D84" s="24"/>
    </row>
    <row r="85" spans="1:4" s="4" customFormat="1" ht="16.5" thickBot="1" x14ac:dyDescent="0.3">
      <c r="A85" s="38" t="s">
        <v>305</v>
      </c>
      <c r="B85" s="46">
        <f>B83+B84</f>
        <v>1582718.6718498338</v>
      </c>
      <c r="C85" s="40"/>
      <c r="D85" s="41"/>
    </row>
    <row r="86" spans="1:4" s="4" customFormat="1" ht="16.5" thickBot="1" x14ac:dyDescent="0.3">
      <c r="A86" s="42" t="s">
        <v>306</v>
      </c>
      <c r="B86" s="46">
        <f>B10+B24+B26+B28+B29-B85</f>
        <v>-277764.62184983399</v>
      </c>
      <c r="C86" s="43"/>
      <c r="D86" s="43"/>
    </row>
    <row r="87" spans="1:4" s="4" customFormat="1" ht="16.5" hidden="1" thickBot="1" x14ac:dyDescent="0.3">
      <c r="A87" s="44" t="s">
        <v>307</v>
      </c>
      <c r="B87" s="46"/>
      <c r="C87" s="43"/>
      <c r="D87" s="43"/>
    </row>
    <row r="88" spans="1:4" s="4" customFormat="1" ht="16.5" hidden="1" thickBot="1" x14ac:dyDescent="0.3">
      <c r="A88" s="45" t="s">
        <v>308</v>
      </c>
      <c r="B88" s="46"/>
      <c r="C88" s="43"/>
      <c r="D88" s="43"/>
    </row>
    <row r="89" spans="1:4" s="4" customFormat="1" hidden="1" x14ac:dyDescent="0.25">
      <c r="A89" s="47"/>
      <c r="B89" s="48"/>
      <c r="C89" s="43"/>
      <c r="D89" s="43"/>
    </row>
    <row r="90" spans="1:4" x14ac:dyDescent="0.25">
      <c r="A90" s="49"/>
    </row>
    <row r="91" spans="1:4" x14ac:dyDescent="0.25">
      <c r="A91" s="267" t="s">
        <v>540</v>
      </c>
      <c r="B91" s="267"/>
    </row>
    <row r="92" spans="1:4" x14ac:dyDescent="0.25">
      <c r="A92" s="49"/>
      <c r="B92" s="51"/>
    </row>
    <row r="93" spans="1:4" x14ac:dyDescent="0.25">
      <c r="A93" s="268"/>
      <c r="B93" s="268"/>
      <c r="C93" s="51"/>
    </row>
  </sheetData>
  <autoFilter ref="A32:B88" xr:uid="{00000000-0009-0000-0000-000016000000}">
    <filterColumn colId="1">
      <filters>
        <filter val="1 280 516,72"/>
        <filter val="1 318 932,23"/>
        <filter val="1 582 718,67"/>
        <filter val="1 886,06"/>
        <filter val="10 797,43"/>
        <filter val="118 990,19"/>
        <filter val="12 457,14"/>
        <filter val="129 974,91"/>
        <filter val="16 387,48"/>
        <filter val="174 325,11"/>
        <filter val="214 280,26"/>
        <filter val="24 714,05"/>
        <filter val="263 786,45"/>
        <filter val="272 819,28"/>
        <filter val="-277 764,62"/>
        <filter val="31 824,99"/>
        <filter val="321 031,75"/>
        <filter val="343 013,81"/>
        <filter val="37 960,01"/>
        <filter val="38 415,50"/>
        <filter val="4 200,00"/>
        <filter val="44 924,33"/>
        <filter val="5 538,06"/>
        <filter val="6 100,00"/>
        <filter val="63 460,24"/>
        <filter val="8 213,52"/>
        <filter val="8 526,91"/>
        <filter val="8 848,00"/>
        <filter val="80 181,78"/>
        <filter val="82 089,02"/>
        <filter val="86 352,66"/>
        <filter val="904,66"/>
        <filter val="91 174,77"/>
      </filters>
    </filterColumn>
  </autoFilter>
  <mergeCells count="9">
    <mergeCell ref="D8:D9"/>
    <mergeCell ref="A91:B91"/>
    <mergeCell ref="A93:B93"/>
    <mergeCell ref="A1:B1"/>
    <mergeCell ref="A2:B2"/>
    <mergeCell ref="A3:B3"/>
    <mergeCell ref="A8:A9"/>
    <mergeCell ref="B8:B9"/>
    <mergeCell ref="C8:C9"/>
  </mergeCells>
  <phoneticPr fontId="43" type="noConversion"/>
  <pageMargins left="0.9055118110236221" right="0.9055118110236221" top="0.74803149606299213" bottom="0.74803149606299213" header="0.31496062992125984" footer="0.31496062992125984"/>
  <pageSetup paperSize="9" scale="73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filterMode="1">
    <pageSetUpPr fitToPage="1"/>
  </sheetPr>
  <dimension ref="A1:G94"/>
  <sheetViews>
    <sheetView view="pageBreakPreview" topLeftCell="A70" zoomScale="80" zoomScaleNormal="100" zoomScaleSheetLayoutView="80" workbookViewId="0">
      <selection activeCell="A24" sqref="A24:B24"/>
    </sheetView>
  </sheetViews>
  <sheetFormatPr defaultRowHeight="15.75" x14ac:dyDescent="0.25"/>
  <cols>
    <col min="1" max="1" width="91.5703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269" t="s">
        <v>224</v>
      </c>
      <c r="B1" s="269"/>
    </row>
    <row r="2" spans="1:4" ht="16.5" x14ac:dyDescent="0.25">
      <c r="A2" s="270" t="s">
        <v>225</v>
      </c>
      <c r="B2" s="270"/>
    </row>
    <row r="3" spans="1:4" ht="16.5" x14ac:dyDescent="0.25">
      <c r="A3" s="270" t="s">
        <v>226</v>
      </c>
      <c r="B3" s="270"/>
    </row>
    <row r="4" spans="1:4" x14ac:dyDescent="0.25">
      <c r="A4" s="184" t="s">
        <v>494</v>
      </c>
      <c r="B4" s="184"/>
    </row>
    <row r="5" spans="1:4" x14ac:dyDescent="0.25">
      <c r="A5" s="184" t="s">
        <v>77</v>
      </c>
      <c r="B5" s="185"/>
    </row>
    <row r="6" spans="1:4" ht="5.25" customHeight="1" x14ac:dyDescent="0.25">
      <c r="A6" s="184"/>
      <c r="B6" s="4"/>
      <c r="C6" s="4"/>
    </row>
    <row r="7" spans="1:4" ht="16.5" thickBot="1" x14ac:dyDescent="0.3">
      <c r="A7" s="186"/>
      <c r="B7" s="4"/>
      <c r="C7" s="4"/>
    </row>
    <row r="8" spans="1:4" ht="15.75" customHeight="1" x14ac:dyDescent="0.25">
      <c r="A8" s="271" t="s">
        <v>227</v>
      </c>
      <c r="B8" s="273" t="s">
        <v>228</v>
      </c>
      <c r="C8" s="265" t="s">
        <v>229</v>
      </c>
      <c r="D8" s="265" t="s">
        <v>230</v>
      </c>
    </row>
    <row r="9" spans="1:4" ht="16.5" thickBot="1" x14ac:dyDescent="0.3">
      <c r="A9" s="272"/>
      <c r="B9" s="274"/>
      <c r="C9" s="266"/>
      <c r="D9" s="266"/>
    </row>
    <row r="10" spans="1:4" ht="16.5" thickBot="1" x14ac:dyDescent="0.3">
      <c r="A10" s="187" t="s">
        <v>231</v>
      </c>
      <c r="B10" s="188">
        <f>VLOOKUP(A5,мкд!S:T,2,FALSE)</f>
        <v>-1680557.45</v>
      </c>
      <c r="C10" s="189"/>
      <c r="D10" s="189"/>
    </row>
    <row r="11" spans="1:4" ht="16.5" hidden="1" thickBot="1" x14ac:dyDescent="0.3">
      <c r="A11" s="190" t="s">
        <v>232</v>
      </c>
      <c r="B11" s="188"/>
      <c r="C11" s="191"/>
      <c r="D11" s="191"/>
    </row>
    <row r="12" spans="1:4" x14ac:dyDescent="0.25">
      <c r="A12" s="192" t="s">
        <v>233</v>
      </c>
      <c r="B12" s="193"/>
      <c r="C12" s="5" t="s">
        <v>234</v>
      </c>
      <c r="D12" s="6" t="s">
        <v>234</v>
      </c>
    </row>
    <row r="13" spans="1:4" hidden="1" x14ac:dyDescent="0.25">
      <c r="A13" s="7" t="s">
        <v>235</v>
      </c>
      <c r="B13" s="8">
        <v>2291.4</v>
      </c>
      <c r="C13" s="9" t="s">
        <v>234</v>
      </c>
      <c r="D13" s="10" t="s">
        <v>234</v>
      </c>
    </row>
    <row r="14" spans="1:4" hidden="1" x14ac:dyDescent="0.25">
      <c r="A14" s="7" t="s">
        <v>236</v>
      </c>
      <c r="B14" s="8">
        <v>0</v>
      </c>
      <c r="C14" s="9"/>
      <c r="D14" s="10"/>
    </row>
    <row r="15" spans="1:4" hidden="1" x14ac:dyDescent="0.25">
      <c r="A15" s="7" t="s">
        <v>237</v>
      </c>
      <c r="B15" s="8">
        <f>B13+B14</f>
        <v>2291.4</v>
      </c>
      <c r="C15" s="9"/>
      <c r="D15" s="10"/>
    </row>
    <row r="16" spans="1:4" hidden="1" x14ac:dyDescent="0.25">
      <c r="A16" s="7" t="s">
        <v>238</v>
      </c>
      <c r="B16" s="8">
        <f>1109+1894.9/3</f>
        <v>1740.6333333333332</v>
      </c>
      <c r="C16" s="9" t="s">
        <v>234</v>
      </c>
      <c r="D16" s="10" t="s">
        <v>234</v>
      </c>
    </row>
    <row r="17" spans="1:7" hidden="1" x14ac:dyDescent="0.25">
      <c r="A17" s="7" t="s">
        <v>239</v>
      </c>
      <c r="B17" s="8">
        <v>0</v>
      </c>
      <c r="C17" s="9" t="s">
        <v>234</v>
      </c>
      <c r="D17" s="10" t="s">
        <v>234</v>
      </c>
    </row>
    <row r="18" spans="1:7" hidden="1" x14ac:dyDescent="0.25">
      <c r="A18" s="7" t="s">
        <v>240</v>
      </c>
      <c r="B18" s="8">
        <v>548.79999999999995</v>
      </c>
      <c r="C18" s="9" t="s">
        <v>234</v>
      </c>
      <c r="D18" s="10" t="s">
        <v>234</v>
      </c>
    </row>
    <row r="19" spans="1:7" hidden="1" x14ac:dyDescent="0.25">
      <c r="A19" s="7" t="s">
        <v>241</v>
      </c>
      <c r="B19" s="8">
        <v>0</v>
      </c>
      <c r="C19" s="9" t="s">
        <v>234</v>
      </c>
      <c r="D19" s="10" t="s">
        <v>234</v>
      </c>
    </row>
    <row r="20" spans="1:7" hidden="1" x14ac:dyDescent="0.25">
      <c r="A20" s="7" t="s">
        <v>242</v>
      </c>
      <c r="B20" s="8">
        <v>693</v>
      </c>
      <c r="C20" s="9"/>
      <c r="D20" s="10"/>
    </row>
    <row r="21" spans="1:7" hidden="1" x14ac:dyDescent="0.25">
      <c r="A21" s="7" t="s">
        <v>243</v>
      </c>
      <c r="B21" s="8">
        <v>0</v>
      </c>
      <c r="C21" s="9" t="s">
        <v>234</v>
      </c>
      <c r="D21" s="10" t="s">
        <v>234</v>
      </c>
    </row>
    <row r="22" spans="1:7" hidden="1" x14ac:dyDescent="0.25">
      <c r="A22" s="7" t="s">
        <v>244</v>
      </c>
      <c r="B22" s="8">
        <v>124</v>
      </c>
      <c r="C22" s="9"/>
      <c r="D22" s="10"/>
    </row>
    <row r="23" spans="1:7" x14ac:dyDescent="0.25">
      <c r="A23" s="7"/>
      <c r="B23" s="11"/>
      <c r="C23" s="9"/>
      <c r="D23" s="10"/>
      <c r="E23" s="3">
        <v>12</v>
      </c>
    </row>
    <row r="24" spans="1:7" x14ac:dyDescent="0.25">
      <c r="A24" s="257" t="s">
        <v>245</v>
      </c>
      <c r="B24" s="255">
        <f>VLOOKUP(A5,мкд!W:X,2,FALSE)</f>
        <v>561609.72</v>
      </c>
      <c r="C24" s="9"/>
      <c r="D24" s="10"/>
      <c r="E24" s="194">
        <v>17.18</v>
      </c>
    </row>
    <row r="25" spans="1:7" x14ac:dyDescent="0.25">
      <c r="A25" s="12" t="s">
        <v>246</v>
      </c>
      <c r="B25" s="14">
        <f>VLOOKUP(A5,мкд!W:Y,3,FALSE)</f>
        <v>568005.06000000006</v>
      </c>
      <c r="C25" s="9"/>
      <c r="D25" s="10"/>
    </row>
    <row r="26" spans="1:7" hidden="1" x14ac:dyDescent="0.25">
      <c r="A26" s="12" t="s">
        <v>247</v>
      </c>
      <c r="B26" s="13"/>
      <c r="C26" s="9"/>
      <c r="D26" s="10"/>
    </row>
    <row r="27" spans="1:7" hidden="1" x14ac:dyDescent="0.25">
      <c r="A27" s="12" t="s">
        <v>248</v>
      </c>
      <c r="B27" s="13">
        <f>B26</f>
        <v>0</v>
      </c>
      <c r="C27" s="9"/>
      <c r="D27" s="10"/>
    </row>
    <row r="28" spans="1:7" x14ac:dyDescent="0.25">
      <c r="A28" s="12" t="s">
        <v>249</v>
      </c>
      <c r="B28" s="14">
        <v>3453.12</v>
      </c>
      <c r="C28" s="9"/>
      <c r="D28" s="10"/>
    </row>
    <row r="29" spans="1:7" hidden="1" x14ac:dyDescent="0.25">
      <c r="A29" s="12" t="s">
        <v>250</v>
      </c>
      <c r="B29" s="11"/>
      <c r="C29" s="9"/>
      <c r="D29" s="10"/>
    </row>
    <row r="30" spans="1:7" x14ac:dyDescent="0.25">
      <c r="A30" s="196"/>
      <c r="B30" s="11"/>
      <c r="C30" s="9"/>
      <c r="D30" s="10"/>
    </row>
    <row r="31" spans="1:7" x14ac:dyDescent="0.25">
      <c r="A31" s="197" t="s">
        <v>251</v>
      </c>
      <c r="B31" s="11"/>
      <c r="C31" s="9"/>
      <c r="D31" s="10"/>
    </row>
    <row r="32" spans="1:7" s="18" customFormat="1" ht="31.5" x14ac:dyDescent="0.25">
      <c r="A32" s="15" t="s">
        <v>252</v>
      </c>
      <c r="B32" s="121">
        <f>SUM(B33:B41)</f>
        <v>187749.75125600002</v>
      </c>
      <c r="C32" s="9"/>
      <c r="D32" s="10"/>
      <c r="E32" s="17">
        <f>(B24-B86)/1.2/1.03</f>
        <v>-442502.41373725515</v>
      </c>
      <c r="F32" s="17" t="e">
        <f>(#REF!-#REF!)/1.2/1.03</f>
        <v>#REF!</v>
      </c>
      <c r="G32" s="17" t="e">
        <f>(#REF!-#REF!)/1.2/1.03</f>
        <v>#REF!</v>
      </c>
    </row>
    <row r="33" spans="1:7" x14ac:dyDescent="0.25">
      <c r="A33" s="19" t="s">
        <v>253</v>
      </c>
      <c r="B33" s="11">
        <f>93292.03*1.0952</f>
        <v>102173.431256</v>
      </c>
      <c r="C33" s="9"/>
      <c r="D33" s="10">
        <v>22565.52</v>
      </c>
    </row>
    <row r="34" spans="1:7" hidden="1" x14ac:dyDescent="0.25">
      <c r="A34" s="19" t="s">
        <v>254</v>
      </c>
      <c r="B34" s="8"/>
      <c r="C34" s="9"/>
      <c r="D34" s="10">
        <v>0</v>
      </c>
    </row>
    <row r="35" spans="1:7" x14ac:dyDescent="0.25">
      <c r="A35" s="19" t="s">
        <v>255</v>
      </c>
      <c r="B35" s="8">
        <v>12180.68</v>
      </c>
      <c r="C35" s="9"/>
      <c r="D35" s="10">
        <v>0</v>
      </c>
    </row>
    <row r="36" spans="1:7" x14ac:dyDescent="0.25">
      <c r="A36" s="19" t="s">
        <v>256</v>
      </c>
      <c r="B36" s="8">
        <v>73395.64</v>
      </c>
      <c r="C36" s="9" t="s">
        <v>234</v>
      </c>
      <c r="D36" s="10">
        <v>0</v>
      </c>
    </row>
    <row r="37" spans="1:7" hidden="1" x14ac:dyDescent="0.25">
      <c r="A37" s="19" t="s">
        <v>257</v>
      </c>
      <c r="B37" s="11">
        <v>0</v>
      </c>
      <c r="C37" s="9"/>
      <c r="D37" s="10">
        <v>0</v>
      </c>
    </row>
    <row r="38" spans="1:7" hidden="1" x14ac:dyDescent="0.25">
      <c r="A38" s="19" t="s">
        <v>339</v>
      </c>
      <c r="B38" s="11">
        <v>0</v>
      </c>
      <c r="C38" s="9"/>
      <c r="D38" s="10">
        <v>0</v>
      </c>
    </row>
    <row r="39" spans="1:7" hidden="1" x14ac:dyDescent="0.25">
      <c r="A39" s="19" t="s">
        <v>259</v>
      </c>
      <c r="B39" s="11">
        <v>0</v>
      </c>
      <c r="C39" s="9"/>
      <c r="D39" s="10">
        <v>0</v>
      </c>
    </row>
    <row r="40" spans="1:7" hidden="1" x14ac:dyDescent="0.25">
      <c r="A40" s="19" t="s">
        <v>310</v>
      </c>
      <c r="B40" s="11">
        <v>0</v>
      </c>
      <c r="C40" s="9"/>
      <c r="D40" s="10"/>
    </row>
    <row r="41" spans="1:7" hidden="1" x14ac:dyDescent="0.25">
      <c r="A41" s="19" t="s">
        <v>339</v>
      </c>
      <c r="B41" s="8"/>
      <c r="C41" s="9"/>
      <c r="D41" s="10"/>
    </row>
    <row r="42" spans="1:7" s="18" customFormat="1" ht="47.25" x14ac:dyDescent="0.25">
      <c r="A42" s="15" t="s">
        <v>261</v>
      </c>
      <c r="B42" s="121">
        <f>SUM(B43:B45)</f>
        <v>176484.5552</v>
      </c>
      <c r="C42" s="9"/>
      <c r="D42" s="10"/>
      <c r="E42" s="17"/>
      <c r="F42" s="17"/>
      <c r="G42" s="17"/>
    </row>
    <row r="43" spans="1:7" x14ac:dyDescent="0.25">
      <c r="A43" s="19" t="s">
        <v>262</v>
      </c>
      <c r="B43" s="11">
        <v>12289.79</v>
      </c>
      <c r="C43" s="23"/>
      <c r="D43" s="24"/>
    </row>
    <row r="44" spans="1:7" x14ac:dyDescent="0.25">
      <c r="A44" s="19" t="s">
        <v>263</v>
      </c>
      <c r="B44" s="11">
        <v>147765.66999999998</v>
      </c>
      <c r="C44" s="23"/>
      <c r="D44" s="24"/>
    </row>
    <row r="45" spans="1:7" x14ac:dyDescent="0.25">
      <c r="A45" s="25" t="s">
        <v>264</v>
      </c>
      <c r="B45" s="11">
        <f>15001*1.0952</f>
        <v>16429.0952</v>
      </c>
      <c r="C45" s="23"/>
      <c r="D45" s="24"/>
    </row>
    <row r="46" spans="1:7" s="4" customFormat="1" x14ac:dyDescent="0.25">
      <c r="A46" s="15" t="s">
        <v>265</v>
      </c>
      <c r="B46" s="121">
        <f>SUM(B47:B65)</f>
        <v>164589.84999999998</v>
      </c>
      <c r="C46" s="9"/>
      <c r="D46" s="10"/>
    </row>
    <row r="47" spans="1:7" x14ac:dyDescent="0.25">
      <c r="A47" s="19" t="s">
        <v>266</v>
      </c>
      <c r="B47" s="11">
        <v>2305</v>
      </c>
      <c r="C47" s="9"/>
      <c r="D47" s="10"/>
      <c r="E47" s="3" t="s">
        <v>267</v>
      </c>
    </row>
    <row r="48" spans="1:7" x14ac:dyDescent="0.25">
      <c r="A48" s="19" t="s">
        <v>268</v>
      </c>
      <c r="B48" s="11">
        <v>2798.88</v>
      </c>
      <c r="C48" s="9"/>
      <c r="D48" s="10"/>
      <c r="E48" s="3" t="s">
        <v>269</v>
      </c>
    </row>
    <row r="49" spans="1:5" hidden="1" x14ac:dyDescent="0.25">
      <c r="A49" s="26" t="s">
        <v>386</v>
      </c>
      <c r="B49" s="10">
        <v>0</v>
      </c>
      <c r="C49" s="9"/>
      <c r="D49" s="10"/>
    </row>
    <row r="50" spans="1:5" hidden="1" x14ac:dyDescent="0.25">
      <c r="A50" s="26" t="s">
        <v>271</v>
      </c>
      <c r="B50" s="10">
        <v>0</v>
      </c>
      <c r="C50" s="9"/>
      <c r="D50" s="10"/>
    </row>
    <row r="51" spans="1:5" x14ac:dyDescent="0.25">
      <c r="A51" s="26" t="s">
        <v>520</v>
      </c>
      <c r="B51" s="27">
        <v>4200</v>
      </c>
      <c r="C51" s="9"/>
      <c r="D51" s="10"/>
    </row>
    <row r="52" spans="1:5" hidden="1" x14ac:dyDescent="0.25">
      <c r="A52" s="26" t="s">
        <v>343</v>
      </c>
      <c r="B52" s="27"/>
      <c r="C52" s="9"/>
      <c r="D52" s="10"/>
    </row>
    <row r="53" spans="1:5" x14ac:dyDescent="0.25">
      <c r="A53" s="26" t="s">
        <v>387</v>
      </c>
      <c r="B53" s="8">
        <v>21600</v>
      </c>
      <c r="C53" s="9">
        <v>0</v>
      </c>
      <c r="D53" s="10">
        <v>522.99</v>
      </c>
    </row>
    <row r="54" spans="1:5" x14ac:dyDescent="0.25">
      <c r="A54" s="26" t="s">
        <v>275</v>
      </c>
      <c r="B54" s="8">
        <v>8133.61</v>
      </c>
      <c r="C54" s="9">
        <v>1</v>
      </c>
      <c r="D54" s="28">
        <v>700.55</v>
      </c>
    </row>
    <row r="55" spans="1:5" hidden="1" x14ac:dyDescent="0.25">
      <c r="A55" s="26" t="s">
        <v>276</v>
      </c>
      <c r="B55" s="11">
        <v>0</v>
      </c>
      <c r="C55" s="9"/>
      <c r="D55" s="28"/>
    </row>
    <row r="56" spans="1:5" hidden="1" x14ac:dyDescent="0.25">
      <c r="A56" s="26" t="s">
        <v>277</v>
      </c>
      <c r="B56" s="11">
        <v>0</v>
      </c>
      <c r="C56" s="9">
        <v>0</v>
      </c>
      <c r="D56" s="10">
        <f>10695.76/1.18</f>
        <v>9064.203389830509</v>
      </c>
    </row>
    <row r="57" spans="1:5" hidden="1" x14ac:dyDescent="0.25">
      <c r="A57" s="26" t="s">
        <v>387</v>
      </c>
      <c r="B57" s="11"/>
      <c r="C57" s="9">
        <v>0</v>
      </c>
      <c r="D57" s="10">
        <f>2300/1.18</f>
        <v>1949.1525423728815</v>
      </c>
    </row>
    <row r="58" spans="1:5" hidden="1" x14ac:dyDescent="0.25">
      <c r="A58" s="26" t="s">
        <v>388</v>
      </c>
      <c r="B58" s="8"/>
      <c r="C58" s="9">
        <v>0</v>
      </c>
      <c r="D58" s="10">
        <v>0</v>
      </c>
    </row>
    <row r="59" spans="1:5" x14ac:dyDescent="0.25">
      <c r="A59" s="26" t="s">
        <v>356</v>
      </c>
      <c r="B59" s="8">
        <f>598.74+17944</f>
        <v>18542.740000000002</v>
      </c>
      <c r="C59" s="9"/>
      <c r="D59" s="10"/>
    </row>
    <row r="60" spans="1:5" hidden="1" x14ac:dyDescent="0.25">
      <c r="A60" s="19" t="s">
        <v>279</v>
      </c>
      <c r="B60" s="11">
        <v>0</v>
      </c>
      <c r="C60" s="9"/>
      <c r="D60" s="10"/>
    </row>
    <row r="61" spans="1:5" hidden="1" x14ac:dyDescent="0.25">
      <c r="A61" s="19" t="s">
        <v>280</v>
      </c>
      <c r="B61" s="11">
        <v>0</v>
      </c>
      <c r="C61" s="9"/>
      <c r="D61" s="10">
        <v>0</v>
      </c>
    </row>
    <row r="62" spans="1:5" hidden="1" x14ac:dyDescent="0.25">
      <c r="A62" s="19" t="s">
        <v>336</v>
      </c>
      <c r="B62" s="11">
        <v>0</v>
      </c>
      <c r="C62" s="9"/>
      <c r="D62" s="10">
        <v>0</v>
      </c>
    </row>
    <row r="63" spans="1:5" x14ac:dyDescent="0.25">
      <c r="A63" s="19" t="s">
        <v>325</v>
      </c>
      <c r="B63" s="31">
        <v>10409.620000000001</v>
      </c>
      <c r="C63" s="30">
        <v>1</v>
      </c>
      <c r="D63" s="10">
        <v>0</v>
      </c>
    </row>
    <row r="64" spans="1:5" x14ac:dyDescent="0.25">
      <c r="A64" s="19" t="s">
        <v>389</v>
      </c>
      <c r="B64" s="31">
        <v>50400</v>
      </c>
      <c r="C64" s="30">
        <v>45</v>
      </c>
      <c r="D64" s="10">
        <v>2</v>
      </c>
      <c r="E64" s="3">
        <v>0</v>
      </c>
    </row>
    <row r="65" spans="1:4" x14ac:dyDescent="0.25">
      <c r="A65" s="19" t="s">
        <v>525</v>
      </c>
      <c r="B65" s="31">
        <v>46200</v>
      </c>
      <c r="C65" s="32"/>
      <c r="D65" s="24">
        <v>0</v>
      </c>
    </row>
    <row r="66" spans="1:4" s="4" customFormat="1" x14ac:dyDescent="0.25">
      <c r="A66" s="33" t="s">
        <v>285</v>
      </c>
      <c r="B66" s="121">
        <f>SUM(B67:B74)</f>
        <v>188681.54032959999</v>
      </c>
      <c r="C66" s="23"/>
      <c r="D66" s="24"/>
    </row>
    <row r="67" spans="1:4" hidden="1" x14ac:dyDescent="0.25">
      <c r="A67" s="19" t="s">
        <v>286</v>
      </c>
      <c r="B67" s="11">
        <v>0</v>
      </c>
      <c r="C67" s="23"/>
      <c r="D67" s="24"/>
    </row>
    <row r="68" spans="1:4" x14ac:dyDescent="0.25">
      <c r="A68" s="19" t="s">
        <v>287</v>
      </c>
      <c r="B68" s="11">
        <f>67205*1.04*1.12*1.0952</f>
        <v>85732.676556799997</v>
      </c>
      <c r="C68" s="23">
        <f>46.2*B15</f>
        <v>105862.68000000001</v>
      </c>
      <c r="D68" s="24"/>
    </row>
    <row r="69" spans="1:4" hidden="1" x14ac:dyDescent="0.25">
      <c r="A69" s="19" t="s">
        <v>288</v>
      </c>
      <c r="B69" s="11">
        <v>0</v>
      </c>
      <c r="C69" s="23"/>
      <c r="D69" s="24"/>
    </row>
    <row r="70" spans="1:4" x14ac:dyDescent="0.25">
      <c r="A70" s="25" t="s">
        <v>289</v>
      </c>
      <c r="B70" s="11">
        <f>1.35*B15</f>
        <v>3093.3900000000003</v>
      </c>
      <c r="C70" s="23"/>
      <c r="D70" s="24"/>
    </row>
    <row r="71" spans="1:4" x14ac:dyDescent="0.25">
      <c r="A71" s="25" t="s">
        <v>290</v>
      </c>
      <c r="B71" s="11">
        <f>5.06*B15</f>
        <v>11594.484</v>
      </c>
      <c r="C71" s="23"/>
      <c r="D71" s="24"/>
    </row>
    <row r="72" spans="1:4" x14ac:dyDescent="0.25">
      <c r="A72" s="25" t="s">
        <v>291</v>
      </c>
      <c r="B72" s="11">
        <f>17.68*B15</f>
        <v>40511.951999999997</v>
      </c>
      <c r="C72" s="23"/>
      <c r="D72" s="24"/>
    </row>
    <row r="73" spans="1:4" x14ac:dyDescent="0.25">
      <c r="A73" s="25" t="s">
        <v>292</v>
      </c>
      <c r="B73" s="11">
        <f>3900*1.04*1.12*1.0952</f>
        <v>4975.186944</v>
      </c>
      <c r="C73" s="23"/>
      <c r="D73" s="24"/>
    </row>
    <row r="74" spans="1:4" x14ac:dyDescent="0.25">
      <c r="A74" s="25" t="s">
        <v>293</v>
      </c>
      <c r="B74" s="11">
        <f>33530*1.04*1.12*1.0952</f>
        <v>42773.850828800001</v>
      </c>
      <c r="C74" s="23"/>
      <c r="D74" s="24"/>
    </row>
    <row r="75" spans="1:4" ht="63" x14ac:dyDescent="0.25">
      <c r="A75" s="34" t="s">
        <v>294</v>
      </c>
      <c r="B75" s="121">
        <f>SUM(B76:B76)</f>
        <v>109417.11778816</v>
      </c>
      <c r="C75" s="23"/>
      <c r="D75" s="24"/>
    </row>
    <row r="76" spans="1:4" x14ac:dyDescent="0.25">
      <c r="A76" s="25" t="s">
        <v>295</v>
      </c>
      <c r="B76" s="11">
        <f>85771*1.04*1.12*1.0952</f>
        <v>109417.11778816</v>
      </c>
      <c r="C76" s="23"/>
      <c r="D76" s="24"/>
    </row>
    <row r="77" spans="1:4" s="4" customFormat="1" x14ac:dyDescent="0.25">
      <c r="A77" s="33" t="s">
        <v>296</v>
      </c>
      <c r="B77" s="121">
        <f>SUM(B78:B81)</f>
        <v>69956.395279999997</v>
      </c>
      <c r="C77" s="23"/>
      <c r="D77" s="24"/>
    </row>
    <row r="78" spans="1:4" x14ac:dyDescent="0.25">
      <c r="A78" s="35" t="s">
        <v>297</v>
      </c>
      <c r="B78" s="11">
        <f>50124*1.0952</f>
        <v>54895.804799999998</v>
      </c>
      <c r="C78" s="23"/>
      <c r="D78" s="24"/>
    </row>
    <row r="79" spans="1:4" hidden="1" x14ac:dyDescent="0.25">
      <c r="A79" s="35" t="s">
        <v>298</v>
      </c>
      <c r="B79" s="11">
        <f>(B26/1.2)*30%</f>
        <v>0</v>
      </c>
      <c r="C79" s="23"/>
      <c r="D79" s="24"/>
    </row>
    <row r="80" spans="1:4" x14ac:dyDescent="0.25">
      <c r="A80" s="36" t="s">
        <v>299</v>
      </c>
      <c r="B80" s="11">
        <f>6192.72+4323.83</f>
        <v>10516.55</v>
      </c>
      <c r="C80" s="23"/>
      <c r="D80" s="24"/>
    </row>
    <row r="81" spans="1:4" x14ac:dyDescent="0.25">
      <c r="A81" s="36" t="s">
        <v>300</v>
      </c>
      <c r="B81" s="11">
        <f>B25/100*0.8</f>
        <v>4544.0404800000006</v>
      </c>
      <c r="C81" s="23"/>
      <c r="D81" s="24"/>
    </row>
    <row r="82" spans="1:4" x14ac:dyDescent="0.25">
      <c r="A82" s="37" t="s">
        <v>301</v>
      </c>
      <c r="B82" s="14">
        <f>B32+B42+B46+B66+B75+B77</f>
        <v>896879.20985375997</v>
      </c>
      <c r="C82" s="23"/>
      <c r="D82" s="24"/>
    </row>
    <row r="83" spans="1:4" x14ac:dyDescent="0.25">
      <c r="A83" s="199" t="s">
        <v>302</v>
      </c>
      <c r="B83" s="11">
        <f>B82*0.03</f>
        <v>26906.376295612798</v>
      </c>
      <c r="C83" s="23"/>
      <c r="D83" s="24"/>
    </row>
    <row r="84" spans="1:4" s="18" customFormat="1" x14ac:dyDescent="0.25">
      <c r="A84" s="176" t="s">
        <v>303</v>
      </c>
      <c r="B84" s="121">
        <f>B82+B83</f>
        <v>923785.58614937274</v>
      </c>
      <c r="C84" s="23"/>
      <c r="D84" s="24"/>
    </row>
    <row r="85" spans="1:4" ht="16.5" thickBot="1" x14ac:dyDescent="0.3">
      <c r="A85" s="177" t="s">
        <v>304</v>
      </c>
      <c r="B85" s="142">
        <f>B84*0.2</f>
        <v>184757.11722987457</v>
      </c>
      <c r="C85" s="23"/>
      <c r="D85" s="24"/>
    </row>
    <row r="86" spans="1:4" s="4" customFormat="1" ht="16.5" thickBot="1" x14ac:dyDescent="0.3">
      <c r="A86" s="38" t="s">
        <v>305</v>
      </c>
      <c r="B86" s="46">
        <f>B84+B85</f>
        <v>1108542.7033792473</v>
      </c>
      <c r="C86" s="40"/>
      <c r="D86" s="41"/>
    </row>
    <row r="87" spans="1:4" s="4" customFormat="1" ht="16.5" thickBot="1" x14ac:dyDescent="0.3">
      <c r="A87" s="42" t="s">
        <v>306</v>
      </c>
      <c r="B87" s="46">
        <f>B10+B24+B26+B28+B29-B86</f>
        <v>-2224037.3133792472</v>
      </c>
      <c r="C87" s="43"/>
      <c r="D87" s="43"/>
    </row>
    <row r="88" spans="1:4" s="4" customFormat="1" ht="16.5" hidden="1" thickBot="1" x14ac:dyDescent="0.3">
      <c r="A88" s="44" t="s">
        <v>307</v>
      </c>
      <c r="B88" s="39"/>
      <c r="C88" s="43"/>
      <c r="D88" s="43"/>
    </row>
    <row r="89" spans="1:4" s="4" customFormat="1" ht="16.5" hidden="1" thickBot="1" x14ac:dyDescent="0.3">
      <c r="A89" s="45" t="s">
        <v>308</v>
      </c>
      <c r="B89" s="46"/>
      <c r="C89" s="43"/>
      <c r="D89" s="43"/>
    </row>
    <row r="90" spans="1:4" s="4" customFormat="1" x14ac:dyDescent="0.25">
      <c r="A90" s="47"/>
      <c r="B90" s="200"/>
      <c r="C90" s="43"/>
      <c r="D90" s="43"/>
    </row>
    <row r="91" spans="1:4" x14ac:dyDescent="0.25">
      <c r="A91" s="49"/>
    </row>
    <row r="92" spans="1:4" x14ac:dyDescent="0.25">
      <c r="A92" s="267" t="s">
        <v>540</v>
      </c>
      <c r="B92" s="267"/>
    </row>
    <row r="93" spans="1:4" x14ac:dyDescent="0.25">
      <c r="A93" s="49"/>
      <c r="B93" s="51"/>
    </row>
    <row r="94" spans="1:4" x14ac:dyDescent="0.25">
      <c r="A94" s="268"/>
      <c r="B94" s="268"/>
      <c r="C94" s="51"/>
    </row>
  </sheetData>
  <autoFilter ref="A32:B89" xr:uid="{00000000-0009-0000-0000-000017000000}">
    <filterColumn colId="1">
      <filters>
        <filter val="1 108 542,70"/>
        <filter val="10 409,62"/>
        <filter val="10 516,55"/>
        <filter val="102 173,43"/>
        <filter val="109 417,12"/>
        <filter val="11 594,48"/>
        <filter val="12 180,68"/>
        <filter val="12 289,79"/>
        <filter val="147 765,67"/>
        <filter val="16 429,10"/>
        <filter val="164 589,85"/>
        <filter val="176 484,56"/>
        <filter val="18 542,74"/>
        <filter val="184 757,12"/>
        <filter val="188 681,54"/>
        <filter val="-2 224 037,31"/>
        <filter val="2 305,00"/>
        <filter val="2 798,88"/>
        <filter val="21 600,00"/>
        <filter val="26 906,38"/>
        <filter val="3 093,39"/>
        <filter val="4 200,00"/>
        <filter val="4 544,04"/>
        <filter val="4 975,19"/>
        <filter val="40 511,95"/>
        <filter val="42 773,85"/>
        <filter val="46 200,00"/>
        <filter val="50 400,00"/>
        <filter val="54 895,80"/>
        <filter val="69 956,40"/>
        <filter val="73 395,64"/>
        <filter val="8 133,61"/>
        <filter val="85 732,68"/>
        <filter val="896 879,21"/>
        <filter val="923 785,59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9055118110236221" right="0.9055118110236221" top="0.74803149606299213" bottom="0.74803149606299213" header="0.31496062992125984" footer="0.31496062992125984"/>
  <pageSetup paperSize="9" scale="73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filterMode="1">
    <pageSetUpPr fitToPage="1"/>
  </sheetPr>
  <dimension ref="A1:G90"/>
  <sheetViews>
    <sheetView view="pageBreakPreview" topLeftCell="A69" zoomScale="70" zoomScaleNormal="100" zoomScaleSheetLayoutView="70" workbookViewId="0">
      <selection activeCell="A24" sqref="A24:B24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269" t="s">
        <v>224</v>
      </c>
      <c r="B1" s="269"/>
    </row>
    <row r="2" spans="1:4" ht="16.5" x14ac:dyDescent="0.25">
      <c r="A2" s="270" t="s">
        <v>225</v>
      </c>
      <c r="B2" s="270"/>
    </row>
    <row r="3" spans="1:4" ht="16.5" x14ac:dyDescent="0.25">
      <c r="A3" s="270" t="s">
        <v>226</v>
      </c>
      <c r="B3" s="270"/>
    </row>
    <row r="4" spans="1:4" x14ac:dyDescent="0.25">
      <c r="A4" s="184" t="s">
        <v>494</v>
      </c>
      <c r="B4" s="184"/>
    </row>
    <row r="5" spans="1:4" x14ac:dyDescent="0.25">
      <c r="A5" s="184" t="s">
        <v>92</v>
      </c>
      <c r="B5" s="184"/>
    </row>
    <row r="6" spans="1:4" ht="5.25" customHeight="1" x14ac:dyDescent="0.25">
      <c r="A6" s="184"/>
      <c r="B6" s="4"/>
      <c r="C6" s="4"/>
    </row>
    <row r="7" spans="1:4" ht="16.5" thickBot="1" x14ac:dyDescent="0.3">
      <c r="A7" s="186"/>
      <c r="B7" s="4"/>
      <c r="C7" s="4"/>
    </row>
    <row r="8" spans="1:4" ht="15.75" customHeight="1" x14ac:dyDescent="0.25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6.5" thickBot="1" x14ac:dyDescent="0.3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-1380563.25</v>
      </c>
      <c r="C10" s="226"/>
      <c r="D10" s="226"/>
    </row>
    <row r="11" spans="1:4" s="227" customFormat="1" ht="16.5" hidden="1" thickBot="1" x14ac:dyDescent="0.3">
      <c r="A11" s="228" t="s">
        <v>232</v>
      </c>
      <c r="B11" s="229"/>
      <c r="C11" s="230"/>
      <c r="D11" s="230"/>
    </row>
    <row r="12" spans="1:4" x14ac:dyDescent="0.25">
      <c r="A12" s="231" t="s">
        <v>233</v>
      </c>
      <c r="B12" s="210"/>
      <c r="C12" s="5" t="s">
        <v>234</v>
      </c>
      <c r="D12" s="6" t="s">
        <v>234</v>
      </c>
    </row>
    <row r="13" spans="1:4" hidden="1" x14ac:dyDescent="0.25">
      <c r="A13" s="7" t="s">
        <v>235</v>
      </c>
      <c r="B13" s="8">
        <v>2632.2</v>
      </c>
      <c r="C13" s="9" t="s">
        <v>234</v>
      </c>
      <c r="D13" s="10" t="s">
        <v>234</v>
      </c>
    </row>
    <row r="14" spans="1:4" hidden="1" x14ac:dyDescent="0.25">
      <c r="A14" s="7" t="s">
        <v>236</v>
      </c>
      <c r="B14" s="8">
        <v>0</v>
      </c>
      <c r="C14" s="9"/>
      <c r="D14" s="10"/>
    </row>
    <row r="15" spans="1:4" hidden="1" x14ac:dyDescent="0.25">
      <c r="A15" s="123" t="s">
        <v>237</v>
      </c>
      <c r="B15" s="11">
        <f>B13+B14</f>
        <v>2632.2</v>
      </c>
      <c r="C15" s="9"/>
      <c r="D15" s="10"/>
    </row>
    <row r="16" spans="1:4" hidden="1" x14ac:dyDescent="0.25">
      <c r="A16" s="123" t="s">
        <v>238</v>
      </c>
      <c r="B16" s="11">
        <f>794.8+1965.5/3</f>
        <v>1449.9666666666667</v>
      </c>
      <c r="C16" s="9" t="s">
        <v>234</v>
      </c>
      <c r="D16" s="10" t="s">
        <v>234</v>
      </c>
    </row>
    <row r="17" spans="1:7" hidden="1" x14ac:dyDescent="0.25">
      <c r="A17" s="7" t="s">
        <v>239</v>
      </c>
      <c r="B17" s="8">
        <v>0</v>
      </c>
      <c r="C17" s="9" t="s">
        <v>234</v>
      </c>
      <c r="D17" s="10" t="s">
        <v>234</v>
      </c>
    </row>
    <row r="18" spans="1:7" hidden="1" x14ac:dyDescent="0.25">
      <c r="A18" s="7" t="s">
        <v>240</v>
      </c>
      <c r="B18" s="8">
        <v>612.9</v>
      </c>
      <c r="C18" s="9" t="s">
        <v>234</v>
      </c>
      <c r="D18" s="10" t="s">
        <v>234</v>
      </c>
    </row>
    <row r="19" spans="1:7" hidden="1" x14ac:dyDescent="0.25">
      <c r="A19" s="7" t="s">
        <v>241</v>
      </c>
      <c r="B19" s="8">
        <v>0</v>
      </c>
      <c r="C19" s="9" t="s">
        <v>234</v>
      </c>
      <c r="D19" s="10" t="s">
        <v>234</v>
      </c>
    </row>
    <row r="20" spans="1:7" hidden="1" x14ac:dyDescent="0.25">
      <c r="A20" s="7" t="s">
        <v>242</v>
      </c>
      <c r="B20" s="8">
        <v>883.2</v>
      </c>
      <c r="C20" s="9"/>
      <c r="D20" s="10"/>
    </row>
    <row r="21" spans="1:7" hidden="1" x14ac:dyDescent="0.25">
      <c r="A21" s="7" t="s">
        <v>243</v>
      </c>
      <c r="B21" s="8">
        <v>0</v>
      </c>
      <c r="C21" s="9" t="s">
        <v>234</v>
      </c>
      <c r="D21" s="10" t="s">
        <v>234</v>
      </c>
    </row>
    <row r="22" spans="1:7" hidden="1" x14ac:dyDescent="0.25">
      <c r="A22" s="7" t="s">
        <v>244</v>
      </c>
      <c r="B22" s="8">
        <v>153</v>
      </c>
      <c r="C22" s="9"/>
      <c r="D22" s="10"/>
    </row>
    <row r="23" spans="1:7" x14ac:dyDescent="0.25">
      <c r="A23" s="123"/>
      <c r="B23" s="11"/>
      <c r="C23" s="9"/>
      <c r="D23" s="10"/>
      <c r="E23" s="3">
        <v>10</v>
      </c>
      <c r="F23" s="3">
        <v>2</v>
      </c>
    </row>
    <row r="24" spans="1:7" x14ac:dyDescent="0.25">
      <c r="A24" s="259" t="s">
        <v>317</v>
      </c>
      <c r="B24" s="255">
        <f>VLOOKUP(A5,мкд!W:X,2,FALSE)</f>
        <v>505501.34</v>
      </c>
      <c r="C24" s="9"/>
      <c r="D24" s="10"/>
      <c r="E24" s="194">
        <v>14.120000000000001</v>
      </c>
      <c r="F24" s="195">
        <v>15.805928</v>
      </c>
    </row>
    <row r="25" spans="1:7" x14ac:dyDescent="0.25">
      <c r="A25" s="124" t="s">
        <v>318</v>
      </c>
      <c r="B25" s="14">
        <f>VLOOKUP(A5,мкд!W:Y,3,FALSE)</f>
        <v>517130.88</v>
      </c>
      <c r="C25" s="9"/>
      <c r="D25" s="10"/>
    </row>
    <row r="26" spans="1:7" hidden="1" x14ac:dyDescent="0.25">
      <c r="A26" s="124" t="s">
        <v>319</v>
      </c>
      <c r="B26" s="14"/>
      <c r="C26" s="9"/>
      <c r="D26" s="10"/>
    </row>
    <row r="27" spans="1:7" hidden="1" x14ac:dyDescent="0.25">
      <c r="A27" s="124" t="s">
        <v>248</v>
      </c>
      <c r="B27" s="14">
        <f>B26</f>
        <v>0</v>
      </c>
      <c r="C27" s="9"/>
      <c r="D27" s="10"/>
    </row>
    <row r="28" spans="1:7" x14ac:dyDescent="0.25">
      <c r="A28" s="124" t="s">
        <v>391</v>
      </c>
      <c r="B28" s="14">
        <v>9097.23</v>
      </c>
      <c r="C28" s="9"/>
      <c r="D28" s="10"/>
    </row>
    <row r="29" spans="1:7" hidden="1" x14ac:dyDescent="0.25">
      <c r="A29" s="124" t="s">
        <v>250</v>
      </c>
      <c r="B29" s="11"/>
      <c r="C29" s="9"/>
      <c r="D29" s="10"/>
    </row>
    <row r="30" spans="1:7" x14ac:dyDescent="0.25">
      <c r="A30" s="125"/>
      <c r="B30" s="11"/>
      <c r="C30" s="9"/>
      <c r="D30" s="10"/>
    </row>
    <row r="31" spans="1:7" x14ac:dyDescent="0.25">
      <c r="A31" s="232" t="s">
        <v>251</v>
      </c>
      <c r="B31" s="11"/>
      <c r="C31" s="9"/>
      <c r="D31" s="10"/>
    </row>
    <row r="32" spans="1:7" s="18" customFormat="1" ht="31.5" x14ac:dyDescent="0.25">
      <c r="A32" s="126" t="s">
        <v>252</v>
      </c>
      <c r="B32" s="121">
        <f>SUM(B33:B37)</f>
        <v>80453.854367999986</v>
      </c>
      <c r="C32" s="9"/>
      <c r="D32" s="10"/>
      <c r="E32" s="17">
        <f>(B82-B24-B26)/1.2/1.03</f>
        <v>92253.251971560385</v>
      </c>
      <c r="F32" s="17" t="e">
        <f>(#REF!-#REF!-#REF!)/1.2/1.03</f>
        <v>#REF!</v>
      </c>
      <c r="G32" s="17" t="e">
        <f>(#REF!-#REF!-#REF!)/1.2/1.03</f>
        <v>#REF!</v>
      </c>
    </row>
    <row r="33" spans="1:7" x14ac:dyDescent="0.25">
      <c r="A33" s="127" t="s">
        <v>253</v>
      </c>
      <c r="B33" s="11">
        <f>49522.84*1.0952</f>
        <v>54237.414367999991</v>
      </c>
      <c r="C33" s="9"/>
      <c r="D33" s="10">
        <v>34682.71</v>
      </c>
    </row>
    <row r="34" spans="1:7" hidden="1" x14ac:dyDescent="0.25">
      <c r="A34" s="127" t="s">
        <v>255</v>
      </c>
      <c r="B34" s="11"/>
      <c r="C34" s="9"/>
      <c r="D34" s="10">
        <v>0</v>
      </c>
    </row>
    <row r="35" spans="1:7" hidden="1" x14ac:dyDescent="0.25">
      <c r="A35" s="127" t="s">
        <v>257</v>
      </c>
      <c r="B35" s="11"/>
      <c r="C35" s="9"/>
      <c r="D35" s="10"/>
    </row>
    <row r="36" spans="1:7" hidden="1" x14ac:dyDescent="0.25">
      <c r="A36" s="127" t="s">
        <v>491</v>
      </c>
      <c r="B36" s="11"/>
      <c r="C36" s="9"/>
      <c r="D36" s="10"/>
    </row>
    <row r="37" spans="1:7" x14ac:dyDescent="0.25">
      <c r="A37" s="150" t="s">
        <v>338</v>
      </c>
      <c r="B37" s="11">
        <v>26216.44</v>
      </c>
      <c r="C37" s="9"/>
      <c r="D37" s="10">
        <v>0</v>
      </c>
    </row>
    <row r="38" spans="1:7" s="18" customFormat="1" ht="47.25" hidden="1" x14ac:dyDescent="0.25">
      <c r="A38" s="126" t="s">
        <v>393</v>
      </c>
      <c r="B38" s="121">
        <f>SUM(B39:B41)</f>
        <v>0</v>
      </c>
      <c r="C38" s="9"/>
      <c r="D38" s="10"/>
      <c r="E38" s="17"/>
      <c r="F38" s="17"/>
      <c r="G38" s="17"/>
    </row>
    <row r="39" spans="1:7" hidden="1" x14ac:dyDescent="0.25">
      <c r="A39" s="128" t="s">
        <v>262</v>
      </c>
      <c r="B39" s="8"/>
      <c r="C39" s="23"/>
      <c r="D39" s="24"/>
    </row>
    <row r="40" spans="1:7" hidden="1" x14ac:dyDescent="0.25">
      <c r="A40" s="127" t="s">
        <v>263</v>
      </c>
      <c r="B40" s="11"/>
      <c r="C40" s="23"/>
      <c r="D40" s="24"/>
    </row>
    <row r="41" spans="1:7" hidden="1" x14ac:dyDescent="0.25">
      <c r="A41" s="103" t="s">
        <v>264</v>
      </c>
      <c r="B41" s="8"/>
      <c r="C41" s="23"/>
      <c r="D41" s="24"/>
    </row>
    <row r="42" spans="1:7" s="4" customFormat="1" x14ac:dyDescent="0.25">
      <c r="A42" s="15" t="s">
        <v>265</v>
      </c>
      <c r="B42" s="121">
        <f>SUM(B43:B61)</f>
        <v>43444.56</v>
      </c>
      <c r="C42" s="9"/>
      <c r="D42" s="10"/>
    </row>
    <row r="43" spans="1:7" x14ac:dyDescent="0.25">
      <c r="A43" s="19" t="s">
        <v>324</v>
      </c>
      <c r="B43" s="11">
        <v>2574.2399999999998</v>
      </c>
      <c r="C43" s="9"/>
      <c r="D43" s="10"/>
      <c r="E43" s="3" t="s">
        <v>267</v>
      </c>
    </row>
    <row r="44" spans="1:7" x14ac:dyDescent="0.25">
      <c r="A44" s="127" t="s">
        <v>315</v>
      </c>
      <c r="B44" s="11">
        <v>3125.82</v>
      </c>
      <c r="C44" s="9"/>
      <c r="D44" s="10"/>
      <c r="E44" s="3" t="s">
        <v>269</v>
      </c>
    </row>
    <row r="45" spans="1:7" hidden="1" x14ac:dyDescent="0.25">
      <c r="A45" s="95" t="s">
        <v>270</v>
      </c>
      <c r="B45" s="11">
        <v>0</v>
      </c>
      <c r="C45" s="9"/>
      <c r="D45" s="10"/>
    </row>
    <row r="46" spans="1:7" hidden="1" x14ac:dyDescent="0.25">
      <c r="A46" s="95" t="s">
        <v>271</v>
      </c>
      <c r="B46" s="11">
        <v>0</v>
      </c>
      <c r="C46" s="9"/>
      <c r="D46" s="10"/>
    </row>
    <row r="47" spans="1:7" hidden="1" x14ac:dyDescent="0.25">
      <c r="A47" s="26" t="s">
        <v>272</v>
      </c>
      <c r="B47" s="11">
        <v>0</v>
      </c>
      <c r="C47" s="9"/>
      <c r="D47" s="10"/>
    </row>
    <row r="48" spans="1:7" hidden="1" x14ac:dyDescent="0.25">
      <c r="A48" s="26" t="s">
        <v>273</v>
      </c>
      <c r="B48" s="11">
        <f>B21*'[4]32тарифы'!D177</f>
        <v>0</v>
      </c>
      <c r="C48" s="9"/>
      <c r="D48" s="10">
        <v>105.14</v>
      </c>
    </row>
    <row r="49" spans="1:5" hidden="1" x14ac:dyDescent="0.25">
      <c r="A49" s="26" t="s">
        <v>274</v>
      </c>
      <c r="B49" s="11">
        <v>0</v>
      </c>
      <c r="C49" s="9">
        <v>0</v>
      </c>
      <c r="D49" s="10">
        <v>522.99</v>
      </c>
    </row>
    <row r="50" spans="1:5" hidden="1" x14ac:dyDescent="0.25">
      <c r="A50" s="26" t="s">
        <v>275</v>
      </c>
      <c r="B50" s="11">
        <v>0</v>
      </c>
      <c r="C50" s="9">
        <v>0</v>
      </c>
      <c r="D50" s="28">
        <v>695.13</v>
      </c>
    </row>
    <row r="51" spans="1:5" hidden="1" x14ac:dyDescent="0.25">
      <c r="A51" s="95" t="s">
        <v>276</v>
      </c>
      <c r="B51" s="11">
        <v>0</v>
      </c>
      <c r="C51" s="9"/>
      <c r="D51" s="28"/>
    </row>
    <row r="52" spans="1:5" hidden="1" x14ac:dyDescent="0.25">
      <c r="A52" s="95" t="s">
        <v>277</v>
      </c>
      <c r="B52" s="70">
        <v>0</v>
      </c>
      <c r="C52" s="9">
        <v>0</v>
      </c>
      <c r="D52" s="10">
        <f>10695.76/1.18</f>
        <v>9064.203389830509</v>
      </c>
    </row>
    <row r="53" spans="1:5" hidden="1" x14ac:dyDescent="0.25">
      <c r="A53" s="95" t="s">
        <v>312</v>
      </c>
      <c r="B53" s="11">
        <v>0</v>
      </c>
      <c r="C53" s="9">
        <v>0</v>
      </c>
      <c r="D53" s="10">
        <f>2300/1.18</f>
        <v>1949.1525423728815</v>
      </c>
    </row>
    <row r="54" spans="1:5" hidden="1" x14ac:dyDescent="0.25">
      <c r="A54" s="95" t="s">
        <v>281</v>
      </c>
      <c r="B54" s="11"/>
      <c r="C54" s="9">
        <v>0</v>
      </c>
      <c r="D54" s="10">
        <v>0</v>
      </c>
    </row>
    <row r="55" spans="1:5" hidden="1" x14ac:dyDescent="0.25">
      <c r="A55" s="131" t="s">
        <v>278</v>
      </c>
      <c r="B55" s="8">
        <f>B13*'[4]32тарифы'!D184</f>
        <v>0</v>
      </c>
      <c r="C55" s="9"/>
      <c r="D55" s="10"/>
      <c r="E55" s="130">
        <f>B76+B42-B55+965.22</f>
        <v>52422.659999999996</v>
      </c>
    </row>
    <row r="56" spans="1:5" hidden="1" x14ac:dyDescent="0.25">
      <c r="A56" s="127" t="s">
        <v>279</v>
      </c>
      <c r="B56" s="70">
        <v>0</v>
      </c>
      <c r="C56" s="9"/>
      <c r="D56" s="10"/>
    </row>
    <row r="57" spans="1:5" x14ac:dyDescent="0.25">
      <c r="A57" s="19" t="s">
        <v>518</v>
      </c>
      <c r="B57" s="11">
        <v>11530.43</v>
      </c>
      <c r="C57" s="9"/>
      <c r="D57" s="10">
        <v>0</v>
      </c>
    </row>
    <row r="58" spans="1:5" ht="15.75" customHeight="1" x14ac:dyDescent="0.25">
      <c r="A58" s="19" t="s">
        <v>281</v>
      </c>
      <c r="B58" s="11">
        <v>607.35</v>
      </c>
      <c r="C58" s="9"/>
      <c r="D58" s="10">
        <v>0</v>
      </c>
    </row>
    <row r="59" spans="1:5" x14ac:dyDescent="0.25">
      <c r="A59" s="19" t="s">
        <v>490</v>
      </c>
      <c r="B59" s="132">
        <f>5875.6+19731.12</f>
        <v>25606.720000000001</v>
      </c>
      <c r="C59" s="30">
        <v>1</v>
      </c>
      <c r="D59" s="10">
        <v>0</v>
      </c>
    </row>
    <row r="60" spans="1:5" hidden="1" x14ac:dyDescent="0.25">
      <c r="A60" s="19" t="s">
        <v>283</v>
      </c>
      <c r="B60" s="132">
        <v>0</v>
      </c>
      <c r="C60" s="30">
        <v>60</v>
      </c>
      <c r="D60" s="10">
        <v>2</v>
      </c>
      <c r="E60" s="3">
        <v>1</v>
      </c>
    </row>
    <row r="61" spans="1:5" hidden="1" x14ac:dyDescent="0.25">
      <c r="A61" s="19" t="s">
        <v>284</v>
      </c>
      <c r="B61" s="132">
        <v>0</v>
      </c>
      <c r="C61" s="32">
        <v>60</v>
      </c>
      <c r="D61" s="24">
        <f>650/1.18</f>
        <v>550.84745762711873</v>
      </c>
    </row>
    <row r="62" spans="1:5" s="4" customFormat="1" x14ac:dyDescent="0.25">
      <c r="A62" s="33" t="s">
        <v>285</v>
      </c>
      <c r="B62" s="121">
        <f>SUM(B63:B70)</f>
        <v>196710.37743983348</v>
      </c>
      <c r="C62" s="23"/>
      <c r="D62" s="24"/>
    </row>
    <row r="63" spans="1:5" hidden="1" x14ac:dyDescent="0.25">
      <c r="A63" s="19" t="s">
        <v>286</v>
      </c>
      <c r="B63" s="11">
        <v>0</v>
      </c>
      <c r="C63" s="23"/>
      <c r="D63" s="24"/>
    </row>
    <row r="64" spans="1:5" x14ac:dyDescent="0.25">
      <c r="A64" s="127" t="s">
        <v>287</v>
      </c>
      <c r="B64" s="11">
        <f>85641*1.04*1.12*1.0952</f>
        <v>109251.27822336</v>
      </c>
      <c r="C64" s="23"/>
      <c r="D64" s="24"/>
    </row>
    <row r="65" spans="1:4" hidden="1" x14ac:dyDescent="0.25">
      <c r="A65" s="127" t="s">
        <v>288</v>
      </c>
      <c r="B65" s="11">
        <v>0</v>
      </c>
      <c r="C65" s="23"/>
      <c r="D65" s="24"/>
    </row>
    <row r="66" spans="1:4" x14ac:dyDescent="0.25">
      <c r="A66" s="25" t="s">
        <v>289</v>
      </c>
      <c r="B66" s="11">
        <f>1.35*B15</f>
        <v>3553.47</v>
      </c>
      <c r="C66" s="23"/>
      <c r="D66" s="24"/>
    </row>
    <row r="67" spans="1:4" x14ac:dyDescent="0.25">
      <c r="A67" s="103" t="s">
        <v>290</v>
      </c>
      <c r="B67" s="11">
        <f>5.06*B15</f>
        <v>13318.931999999999</v>
      </c>
      <c r="C67" s="23"/>
      <c r="D67" s="24"/>
    </row>
    <row r="68" spans="1:4" x14ac:dyDescent="0.25">
      <c r="A68" s="129" t="s">
        <v>291</v>
      </c>
      <c r="B68" s="11">
        <f>17.68*B15</f>
        <v>46537.295999999995</v>
      </c>
      <c r="C68" s="23"/>
      <c r="D68" s="24"/>
    </row>
    <row r="69" spans="1:4" x14ac:dyDescent="0.25">
      <c r="A69" s="103" t="s">
        <v>292</v>
      </c>
      <c r="B69" s="8">
        <f>4561*1.04*1.12*1.0952</f>
        <v>5818.4173465600006</v>
      </c>
      <c r="C69" s="23"/>
      <c r="D69" s="24"/>
    </row>
    <row r="70" spans="1:4" x14ac:dyDescent="0.25">
      <c r="A70" s="129" t="s">
        <v>293</v>
      </c>
      <c r="B70" s="135">
        <f>('[4]32тарифы'!D167*B15)+('[4]32тарифы'!D187*B15)*1.12*1.0952</f>
        <v>18230.9838699135</v>
      </c>
      <c r="C70" s="23"/>
      <c r="D70" s="24"/>
    </row>
    <row r="71" spans="1:4" ht="63" x14ac:dyDescent="0.25">
      <c r="A71" s="34" t="s">
        <v>294</v>
      </c>
      <c r="B71" s="121">
        <f>SUM(B72:B72)</f>
        <v>96903.296000000017</v>
      </c>
      <c r="C71" s="23"/>
      <c r="D71" s="24"/>
    </row>
    <row r="72" spans="1:4" x14ac:dyDescent="0.25">
      <c r="A72" s="129" t="s">
        <v>295</v>
      </c>
      <c r="B72" s="11">
        <f>79000*1.12*1.0952</f>
        <v>96903.296000000017</v>
      </c>
      <c r="C72" s="23"/>
      <c r="D72" s="24"/>
    </row>
    <row r="73" spans="1:4" s="4" customFormat="1" x14ac:dyDescent="0.25">
      <c r="A73" s="133" t="s">
        <v>296</v>
      </c>
      <c r="B73" s="121">
        <f>SUM(B74:B77)</f>
        <v>83722.830830393505</v>
      </c>
      <c r="C73" s="23"/>
      <c r="D73" s="24"/>
    </row>
    <row r="74" spans="1:4" x14ac:dyDescent="0.25">
      <c r="A74" s="137" t="s">
        <v>297</v>
      </c>
      <c r="B74" s="11">
        <f>'[4]32тарифы'!D170*B15*1.12*1.0952</f>
        <v>69572.903790393495</v>
      </c>
      <c r="C74" s="23"/>
      <c r="D74" s="24"/>
    </row>
    <row r="75" spans="1:4" hidden="1" x14ac:dyDescent="0.25">
      <c r="A75" s="137" t="s">
        <v>298</v>
      </c>
      <c r="B75" s="11">
        <f>(B26/1.2)*30%</f>
        <v>0</v>
      </c>
      <c r="C75" s="23"/>
      <c r="D75" s="24"/>
    </row>
    <row r="76" spans="1:4" x14ac:dyDescent="0.25">
      <c r="A76" s="138" t="s">
        <v>299</v>
      </c>
      <c r="B76" s="11">
        <f>8012.88</f>
        <v>8012.88</v>
      </c>
      <c r="C76" s="23"/>
      <c r="D76" s="24"/>
    </row>
    <row r="77" spans="1:4" x14ac:dyDescent="0.25">
      <c r="A77" s="138" t="s">
        <v>300</v>
      </c>
      <c r="B77" s="11">
        <f>B25/100*0.8+2000</f>
        <v>6137.0470400000004</v>
      </c>
      <c r="C77" s="23"/>
      <c r="D77" s="24"/>
    </row>
    <row r="78" spans="1:4" x14ac:dyDescent="0.25">
      <c r="A78" s="233" t="s">
        <v>301</v>
      </c>
      <c r="B78" s="14">
        <f>B32+B38+B42+B62+B71+B73</f>
        <v>501234.91863822704</v>
      </c>
      <c r="C78" s="23"/>
      <c r="D78" s="24"/>
    </row>
    <row r="79" spans="1:4" x14ac:dyDescent="0.25">
      <c r="A79" s="139" t="s">
        <v>302</v>
      </c>
      <c r="B79" s="11">
        <f>B78*0.03</f>
        <v>15037.047559146811</v>
      </c>
      <c r="C79" s="23"/>
      <c r="D79" s="24"/>
    </row>
    <row r="80" spans="1:4" s="18" customFormat="1" x14ac:dyDescent="0.25">
      <c r="A80" s="140" t="s">
        <v>303</v>
      </c>
      <c r="B80" s="121">
        <f>B78+B79</f>
        <v>516271.96619737387</v>
      </c>
      <c r="C80" s="23"/>
      <c r="D80" s="24"/>
    </row>
    <row r="81" spans="1:4" ht="16.5" thickBot="1" x14ac:dyDescent="0.3">
      <c r="A81" s="141" t="s">
        <v>304</v>
      </c>
      <c r="B81" s="245">
        <f>B80*0.2</f>
        <v>103254.39323947478</v>
      </c>
      <c r="C81" s="23"/>
      <c r="D81" s="24"/>
    </row>
    <row r="82" spans="1:4" s="4" customFormat="1" ht="16.5" thickBot="1" x14ac:dyDescent="0.3">
      <c r="A82" s="42" t="s">
        <v>305</v>
      </c>
      <c r="B82" s="46">
        <f>B80+B81</f>
        <v>619526.35943684867</v>
      </c>
      <c r="C82" s="40"/>
      <c r="D82" s="41"/>
    </row>
    <row r="83" spans="1:4" s="4" customFormat="1" ht="16.5" thickBot="1" x14ac:dyDescent="0.3">
      <c r="A83" s="42" t="s">
        <v>306</v>
      </c>
      <c r="B83" s="46">
        <f>B10+B24+B26+B28+B29-B82</f>
        <v>-1485491.0394368486</v>
      </c>
      <c r="C83" s="43"/>
      <c r="D83" s="43"/>
    </row>
    <row r="84" spans="1:4" s="4" customFormat="1" ht="16.5" hidden="1" thickBot="1" x14ac:dyDescent="0.3">
      <c r="A84" s="44" t="s">
        <v>307</v>
      </c>
      <c r="B84" s="46"/>
      <c r="C84" s="43"/>
      <c r="D84" s="43"/>
    </row>
    <row r="85" spans="1:4" s="4" customFormat="1" hidden="1" x14ac:dyDescent="0.25">
      <c r="A85" s="243" t="s">
        <v>308</v>
      </c>
      <c r="B85" s="244"/>
      <c r="C85" s="43"/>
      <c r="D85" s="43"/>
    </row>
    <row r="86" spans="1:4" x14ac:dyDescent="0.25">
      <c r="B86" s="130"/>
    </row>
    <row r="87" spans="1:4" ht="10.5" customHeight="1" x14ac:dyDescent="0.25">
      <c r="A87" s="49"/>
    </row>
    <row r="88" spans="1:4" x14ac:dyDescent="0.25">
      <c r="A88" s="286" t="s">
        <v>542</v>
      </c>
      <c r="B88" s="286"/>
    </row>
    <row r="89" spans="1:4" x14ac:dyDescent="0.25">
      <c r="A89" s="49"/>
    </row>
    <row r="90" spans="1:4" hidden="1" x14ac:dyDescent="0.25">
      <c r="A90" s="292" t="s">
        <v>399</v>
      </c>
      <c r="B90" s="292"/>
      <c r="C90" s="51"/>
    </row>
  </sheetData>
  <autoFilter ref="A31:G85" xr:uid="{00000000-0009-0000-0000-000018000000}">
    <filterColumn colId="1">
      <filters>
        <filter val="-1 485 491,04"/>
        <filter val="103 254,39"/>
        <filter val="109 251,28"/>
        <filter val="11 530,43"/>
        <filter val="13 318,93"/>
        <filter val="15 037,05"/>
        <filter val="18 230,98"/>
        <filter val="196 710,38"/>
        <filter val="2 574,24"/>
        <filter val="25 606,72"/>
        <filter val="26 216,44"/>
        <filter val="3 125,82"/>
        <filter val="3 553,47"/>
        <filter val="43 444,56"/>
        <filter val="46 537,30"/>
        <filter val="5 818,42"/>
        <filter val="501 234,92"/>
        <filter val="516 271,97"/>
        <filter val="54 237,41"/>
        <filter val="6 137,05"/>
        <filter val="607,35"/>
        <filter val="619 526,36"/>
        <filter val="69 572,90"/>
        <filter val="8 012,88"/>
        <filter val="80 453,85"/>
        <filter val="83 722,83"/>
        <filter val="96 903,30"/>
      </filters>
    </filterColumn>
  </autoFilter>
  <mergeCells count="9">
    <mergeCell ref="A90:B90"/>
    <mergeCell ref="C8:C9"/>
    <mergeCell ref="D8:D9"/>
    <mergeCell ref="A1:B1"/>
    <mergeCell ref="A2:B2"/>
    <mergeCell ref="A3:B3"/>
    <mergeCell ref="A8:A9"/>
    <mergeCell ref="B8:B9"/>
    <mergeCell ref="A88:B88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filterMode="1">
    <pageSetUpPr fitToPage="1"/>
  </sheetPr>
  <dimension ref="A1:G94"/>
  <sheetViews>
    <sheetView view="pageBreakPreview" topLeftCell="A66" zoomScale="70" zoomScaleNormal="100" zoomScaleSheetLayoutView="70" workbookViewId="0">
      <selection activeCell="A24" sqref="A24:B24"/>
    </sheetView>
  </sheetViews>
  <sheetFormatPr defaultRowHeight="15.75" x14ac:dyDescent="0.25"/>
  <cols>
    <col min="1" max="1" width="96.42578125" style="3" customWidth="1"/>
    <col min="2" max="2" width="18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269" t="s">
        <v>224</v>
      </c>
      <c r="B1" s="269"/>
    </row>
    <row r="2" spans="1:4" ht="16.5" x14ac:dyDescent="0.25">
      <c r="A2" s="270" t="s">
        <v>225</v>
      </c>
      <c r="B2" s="270"/>
    </row>
    <row r="3" spans="1:4" ht="16.5" x14ac:dyDescent="0.25">
      <c r="A3" s="270" t="s">
        <v>226</v>
      </c>
      <c r="B3" s="270"/>
    </row>
    <row r="4" spans="1:4" x14ac:dyDescent="0.25">
      <c r="A4" s="184" t="s">
        <v>494</v>
      </c>
      <c r="B4" s="184"/>
    </row>
    <row r="5" spans="1:4" x14ac:dyDescent="0.25">
      <c r="A5" s="184" t="s">
        <v>94</v>
      </c>
      <c r="B5" s="184"/>
    </row>
    <row r="6" spans="1:4" ht="5.25" customHeight="1" x14ac:dyDescent="0.25">
      <c r="A6" s="184"/>
      <c r="B6" s="4"/>
      <c r="C6" s="4"/>
    </row>
    <row r="7" spans="1:4" ht="16.5" thickBot="1" x14ac:dyDescent="0.3">
      <c r="A7" s="186"/>
      <c r="B7" s="4"/>
      <c r="C7" s="4"/>
    </row>
    <row r="8" spans="1:4" ht="15.75" customHeight="1" x14ac:dyDescent="0.25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6.5" thickBot="1" x14ac:dyDescent="0.3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-268861.08</v>
      </c>
      <c r="C10" s="226"/>
      <c r="D10" s="226"/>
    </row>
    <row r="11" spans="1:4" s="227" customFormat="1" ht="16.5" hidden="1" thickBot="1" x14ac:dyDescent="0.3">
      <c r="A11" s="228" t="s">
        <v>232</v>
      </c>
      <c r="B11" s="229"/>
      <c r="C11" s="230"/>
      <c r="D11" s="230"/>
    </row>
    <row r="12" spans="1:4" x14ac:dyDescent="0.25">
      <c r="A12" s="231" t="s">
        <v>233</v>
      </c>
      <c r="B12" s="210"/>
      <c r="C12" s="5" t="s">
        <v>234</v>
      </c>
      <c r="D12" s="6" t="s">
        <v>234</v>
      </c>
    </row>
    <row r="13" spans="1:4" hidden="1" x14ac:dyDescent="0.25">
      <c r="A13" s="7" t="s">
        <v>235</v>
      </c>
      <c r="B13" s="8">
        <v>2650.5</v>
      </c>
      <c r="C13" s="9" t="s">
        <v>234</v>
      </c>
      <c r="D13" s="10" t="s">
        <v>234</v>
      </c>
    </row>
    <row r="14" spans="1:4" hidden="1" x14ac:dyDescent="0.25">
      <c r="A14" s="7" t="s">
        <v>236</v>
      </c>
      <c r="B14" s="11">
        <v>0</v>
      </c>
      <c r="C14" s="9"/>
      <c r="D14" s="10"/>
    </row>
    <row r="15" spans="1:4" hidden="1" x14ac:dyDescent="0.25">
      <c r="A15" s="123" t="s">
        <v>237</v>
      </c>
      <c r="B15" s="11">
        <f>B13+B14</f>
        <v>2650.5</v>
      </c>
      <c r="C15" s="9"/>
      <c r="D15" s="10"/>
    </row>
    <row r="16" spans="1:4" hidden="1" x14ac:dyDescent="0.25">
      <c r="A16" s="123" t="s">
        <v>238</v>
      </c>
      <c r="B16" s="11">
        <f>1014.7+1575.6/3</f>
        <v>1539.9</v>
      </c>
      <c r="C16" s="9" t="s">
        <v>234</v>
      </c>
      <c r="D16" s="10" t="s">
        <v>234</v>
      </c>
    </row>
    <row r="17" spans="1:7" hidden="1" x14ac:dyDescent="0.25">
      <c r="A17" s="7" t="s">
        <v>239</v>
      </c>
      <c r="B17" s="11">
        <v>0</v>
      </c>
      <c r="C17" s="9" t="s">
        <v>234</v>
      </c>
      <c r="D17" s="10" t="s">
        <v>234</v>
      </c>
    </row>
    <row r="18" spans="1:7" hidden="1" x14ac:dyDescent="0.25">
      <c r="A18" s="7" t="s">
        <v>240</v>
      </c>
      <c r="B18" s="8">
        <v>572.6</v>
      </c>
      <c r="C18" s="9" t="s">
        <v>234</v>
      </c>
      <c r="D18" s="10" t="s">
        <v>234</v>
      </c>
    </row>
    <row r="19" spans="1:7" hidden="1" x14ac:dyDescent="0.25">
      <c r="A19" s="7" t="s">
        <v>241</v>
      </c>
      <c r="B19" s="8">
        <v>840</v>
      </c>
      <c r="C19" s="9" t="s">
        <v>234</v>
      </c>
      <c r="D19" s="10" t="s">
        <v>234</v>
      </c>
    </row>
    <row r="20" spans="1:7" hidden="1" x14ac:dyDescent="0.25">
      <c r="A20" s="7" t="s">
        <v>242</v>
      </c>
      <c r="B20" s="8">
        <v>748</v>
      </c>
      <c r="C20" s="9"/>
      <c r="D20" s="10"/>
    </row>
    <row r="21" spans="1:7" hidden="1" x14ac:dyDescent="0.25">
      <c r="A21" s="7" t="s">
        <v>243</v>
      </c>
      <c r="B21" s="11">
        <v>0</v>
      </c>
      <c r="C21" s="9" t="s">
        <v>234</v>
      </c>
      <c r="D21" s="10" t="s">
        <v>234</v>
      </c>
    </row>
    <row r="22" spans="1:7" hidden="1" x14ac:dyDescent="0.25">
      <c r="A22" s="7" t="s">
        <v>244</v>
      </c>
      <c r="B22" s="8">
        <v>144</v>
      </c>
      <c r="C22" s="9"/>
      <c r="D22" s="10"/>
    </row>
    <row r="23" spans="1:7" x14ac:dyDescent="0.25">
      <c r="A23" s="123"/>
      <c r="B23" s="11"/>
      <c r="C23" s="9"/>
      <c r="D23" s="10"/>
      <c r="E23" s="3">
        <v>10</v>
      </c>
      <c r="F23" s="3">
        <v>2</v>
      </c>
    </row>
    <row r="24" spans="1:7" x14ac:dyDescent="0.25">
      <c r="A24" s="259" t="s">
        <v>317</v>
      </c>
      <c r="B24" s="255">
        <f>VLOOKUP(A5,мкд!W:X,2,FALSE)</f>
        <v>595497.12</v>
      </c>
      <c r="C24" s="9"/>
      <c r="D24" s="10"/>
      <c r="E24" s="194">
        <v>17.400000072000001</v>
      </c>
      <c r="F24" s="195">
        <v>19.477560080596799</v>
      </c>
    </row>
    <row r="25" spans="1:7" x14ac:dyDescent="0.25">
      <c r="A25" s="124" t="s">
        <v>318</v>
      </c>
      <c r="B25" s="14">
        <f>VLOOKUP(A5,мкд!W:Y,3,FALSE)</f>
        <v>554701.9</v>
      </c>
      <c r="C25" s="9"/>
      <c r="D25" s="10"/>
    </row>
    <row r="26" spans="1:7" hidden="1" x14ac:dyDescent="0.25">
      <c r="A26" s="124" t="s">
        <v>319</v>
      </c>
      <c r="B26" s="14"/>
      <c r="C26" s="9"/>
      <c r="D26" s="10"/>
    </row>
    <row r="27" spans="1:7" hidden="1" x14ac:dyDescent="0.25">
      <c r="A27" s="124" t="s">
        <v>248</v>
      </c>
      <c r="B27" s="14">
        <f>B26</f>
        <v>0</v>
      </c>
      <c r="C27" s="9"/>
      <c r="D27" s="10"/>
    </row>
    <row r="28" spans="1:7" x14ac:dyDescent="0.25">
      <c r="A28" s="124" t="s">
        <v>391</v>
      </c>
      <c r="B28" s="14">
        <v>7154.31</v>
      </c>
      <c r="C28" s="9"/>
      <c r="D28" s="10"/>
    </row>
    <row r="29" spans="1:7" hidden="1" x14ac:dyDescent="0.25">
      <c r="A29" s="124" t="s">
        <v>250</v>
      </c>
      <c r="B29" s="11"/>
      <c r="C29" s="9"/>
      <c r="D29" s="10"/>
    </row>
    <row r="30" spans="1:7" x14ac:dyDescent="0.25">
      <c r="A30" s="125"/>
      <c r="B30" s="11"/>
      <c r="C30" s="9"/>
      <c r="D30" s="10"/>
    </row>
    <row r="31" spans="1:7" x14ac:dyDescent="0.25">
      <c r="A31" s="232" t="s">
        <v>251</v>
      </c>
      <c r="B31" s="11"/>
      <c r="C31" s="9"/>
      <c r="D31" s="10"/>
    </row>
    <row r="32" spans="1:7" s="18" customFormat="1" ht="31.5" x14ac:dyDescent="0.25">
      <c r="A32" s="126" t="s">
        <v>252</v>
      </c>
      <c r="B32" s="121">
        <f>SUM(B33:B41)</f>
        <v>287390.06</v>
      </c>
      <c r="C32" s="9"/>
      <c r="D32" s="10"/>
      <c r="E32" s="17">
        <f>(B86-B24-B26)/1.2/1.03</f>
        <v>291177.09594202699</v>
      </c>
      <c r="F32" s="17" t="e">
        <f>(#REF!-#REF!-#REF!)/1.2/1.03</f>
        <v>#REF!</v>
      </c>
      <c r="G32" s="17" t="e">
        <f>(#REF!-#REF!-#REF!)/1.2/1.03</f>
        <v>#REF!</v>
      </c>
    </row>
    <row r="33" spans="1:7" x14ac:dyDescent="0.25">
      <c r="A33" s="127" t="s">
        <v>253</v>
      </c>
      <c r="B33" s="11">
        <v>65490.409999999996</v>
      </c>
      <c r="C33" s="9"/>
      <c r="D33" s="10">
        <v>35432.53</v>
      </c>
    </row>
    <row r="34" spans="1:7" x14ac:dyDescent="0.25">
      <c r="A34" s="159" t="s">
        <v>255</v>
      </c>
      <c r="B34" s="151">
        <v>25029.19</v>
      </c>
      <c r="C34" s="9"/>
      <c r="D34" s="10">
        <v>0</v>
      </c>
    </row>
    <row r="35" spans="1:7" x14ac:dyDescent="0.25">
      <c r="A35" s="150" t="s">
        <v>429</v>
      </c>
      <c r="B35" s="151">
        <v>19117.21</v>
      </c>
      <c r="C35" s="9"/>
      <c r="D35" s="10">
        <v>0</v>
      </c>
    </row>
    <row r="36" spans="1:7" x14ac:dyDescent="0.25">
      <c r="A36" s="159" t="s">
        <v>537</v>
      </c>
      <c r="B36" s="153">
        <v>113060</v>
      </c>
      <c r="C36" s="9" t="s">
        <v>234</v>
      </c>
      <c r="D36" s="10">
        <v>0</v>
      </c>
    </row>
    <row r="37" spans="1:7" hidden="1" x14ac:dyDescent="0.25">
      <c r="A37" s="127" t="s">
        <v>392</v>
      </c>
      <c r="B37" s="11"/>
      <c r="C37" s="9"/>
      <c r="D37" s="10">
        <v>0</v>
      </c>
    </row>
    <row r="38" spans="1:7" hidden="1" x14ac:dyDescent="0.25">
      <c r="A38" s="127" t="s">
        <v>258</v>
      </c>
      <c r="B38" s="11">
        <v>0</v>
      </c>
      <c r="C38" s="9"/>
      <c r="D38" s="10">
        <v>0</v>
      </c>
    </row>
    <row r="39" spans="1:7" hidden="1" x14ac:dyDescent="0.25">
      <c r="A39" s="19" t="s">
        <v>259</v>
      </c>
      <c r="B39" s="11">
        <v>0</v>
      </c>
      <c r="C39" s="9"/>
      <c r="D39" s="10">
        <v>0</v>
      </c>
    </row>
    <row r="40" spans="1:7" x14ac:dyDescent="0.25">
      <c r="A40" s="19" t="s">
        <v>257</v>
      </c>
      <c r="B40" s="11">
        <v>57115.69</v>
      </c>
      <c r="C40" s="9"/>
      <c r="D40" s="10"/>
    </row>
    <row r="41" spans="1:7" x14ac:dyDescent="0.25">
      <c r="A41" s="19" t="s">
        <v>311</v>
      </c>
      <c r="B41" s="11">
        <v>7577.56</v>
      </c>
      <c r="C41" s="9"/>
      <c r="D41" s="10"/>
    </row>
    <row r="42" spans="1:7" s="18" customFormat="1" ht="47.25" x14ac:dyDescent="0.25">
      <c r="A42" s="126" t="s">
        <v>393</v>
      </c>
      <c r="B42" s="121">
        <f>SUM(B43:B45)</f>
        <v>21271.771724356273</v>
      </c>
      <c r="C42" s="9"/>
      <c r="D42" s="10"/>
      <c r="E42" s="17"/>
      <c r="F42" s="17"/>
      <c r="G42" s="17"/>
    </row>
    <row r="43" spans="1:7" hidden="1" x14ac:dyDescent="0.25">
      <c r="A43" s="19" t="s">
        <v>262</v>
      </c>
      <c r="B43" s="11"/>
      <c r="C43" s="23"/>
      <c r="D43" s="24"/>
    </row>
    <row r="44" spans="1:7" hidden="1" x14ac:dyDescent="0.25">
      <c r="A44" s="19" t="s">
        <v>263</v>
      </c>
      <c r="B44" s="11"/>
      <c r="C44" s="23"/>
      <c r="D44" s="24"/>
    </row>
    <row r="45" spans="1:7" x14ac:dyDescent="0.25">
      <c r="A45" s="129" t="s">
        <v>264</v>
      </c>
      <c r="B45" s="11">
        <f>1.04*16674.73215756*1.12*1.0952</f>
        <v>21271.771724356273</v>
      </c>
      <c r="C45" s="23"/>
      <c r="D45" s="24"/>
    </row>
    <row r="46" spans="1:7" s="4" customFormat="1" x14ac:dyDescent="0.25">
      <c r="A46" s="126" t="s">
        <v>265</v>
      </c>
      <c r="B46" s="121">
        <f>SUM(B47:B65)</f>
        <v>134988.30000000002</v>
      </c>
      <c r="C46" s="9"/>
      <c r="D46" s="10"/>
    </row>
    <row r="47" spans="1:7" x14ac:dyDescent="0.25">
      <c r="A47" s="127" t="s">
        <v>324</v>
      </c>
      <c r="B47" s="11">
        <v>2404.92</v>
      </c>
      <c r="C47" s="9"/>
      <c r="D47" s="10"/>
      <c r="E47" s="3" t="s">
        <v>267</v>
      </c>
    </row>
    <row r="48" spans="1:7" x14ac:dyDescent="0.25">
      <c r="A48" s="127" t="s">
        <v>315</v>
      </c>
      <c r="B48" s="11">
        <v>9075.84</v>
      </c>
      <c r="C48" s="9"/>
      <c r="D48" s="10"/>
      <c r="E48" s="3" t="s">
        <v>269</v>
      </c>
    </row>
    <row r="49" spans="1:5" hidden="1" x14ac:dyDescent="0.25">
      <c r="A49" s="95" t="s">
        <v>270</v>
      </c>
      <c r="B49" s="11">
        <v>0</v>
      </c>
      <c r="C49" s="9"/>
      <c r="D49" s="10"/>
    </row>
    <row r="50" spans="1:5" hidden="1" x14ac:dyDescent="0.25">
      <c r="A50" s="95" t="s">
        <v>271</v>
      </c>
      <c r="B50" s="70">
        <v>0</v>
      </c>
      <c r="C50" s="9"/>
      <c r="D50" s="10"/>
    </row>
    <row r="51" spans="1:5" hidden="1" x14ac:dyDescent="0.25">
      <c r="A51" s="95" t="s">
        <v>272</v>
      </c>
      <c r="B51" s="11">
        <v>0</v>
      </c>
      <c r="C51" s="9"/>
      <c r="D51" s="10"/>
    </row>
    <row r="52" spans="1:5" ht="18" customHeight="1" x14ac:dyDescent="0.25">
      <c r="A52" s="95" t="s">
        <v>520</v>
      </c>
      <c r="B52" s="11">
        <v>700</v>
      </c>
      <c r="C52" s="9"/>
      <c r="D52" s="10">
        <v>105.14</v>
      </c>
    </row>
    <row r="53" spans="1:5" ht="19.5" customHeight="1" x14ac:dyDescent="0.25">
      <c r="A53" s="95" t="s">
        <v>519</v>
      </c>
      <c r="B53" s="11">
        <v>1440</v>
      </c>
      <c r="C53" s="9">
        <v>0</v>
      </c>
      <c r="D53" s="10">
        <v>522.99</v>
      </c>
    </row>
    <row r="54" spans="1:5" ht="17.25" customHeight="1" x14ac:dyDescent="0.25">
      <c r="A54" s="26" t="s">
        <v>275</v>
      </c>
      <c r="B54" s="11">
        <v>2033.62</v>
      </c>
      <c r="C54" s="9">
        <v>0</v>
      </c>
      <c r="D54" s="28">
        <v>695.13</v>
      </c>
    </row>
    <row r="55" spans="1:5" ht="15" customHeight="1" x14ac:dyDescent="0.25">
      <c r="A55" s="95" t="s">
        <v>344</v>
      </c>
      <c r="B55" s="11">
        <v>68074</v>
      </c>
      <c r="C55" s="9"/>
      <c r="D55" s="28"/>
      <c r="E55" s="130">
        <f>B80+B46-B59+328.88</f>
        <v>150064.82</v>
      </c>
    </row>
    <row r="56" spans="1:5" x14ac:dyDescent="0.25">
      <c r="A56" s="95" t="s">
        <v>518</v>
      </c>
      <c r="B56" s="11">
        <v>11758.36</v>
      </c>
      <c r="C56" s="9">
        <v>0</v>
      </c>
      <c r="D56" s="10">
        <f>10695.76/1.18</f>
        <v>9064.203389830509</v>
      </c>
    </row>
    <row r="57" spans="1:5" hidden="1" x14ac:dyDescent="0.25">
      <c r="A57" s="95" t="s">
        <v>403</v>
      </c>
      <c r="B57" s="11"/>
      <c r="C57" s="9">
        <v>0</v>
      </c>
      <c r="D57" s="10">
        <f>2300/1.18</f>
        <v>1949.1525423728815</v>
      </c>
    </row>
    <row r="58" spans="1:5" x14ac:dyDescent="0.25">
      <c r="A58" s="95" t="s">
        <v>314</v>
      </c>
      <c r="B58" s="8">
        <f>VLOOKUP(A5,'[2]МКД 33'!$AI:$FO,137,FALSE)</f>
        <v>19067.400000000001</v>
      </c>
      <c r="C58" s="9">
        <v>0</v>
      </c>
      <c r="D58" s="10">
        <v>0</v>
      </c>
    </row>
    <row r="59" spans="1:5" hidden="1" x14ac:dyDescent="0.25">
      <c r="A59" s="131" t="s">
        <v>278</v>
      </c>
      <c r="B59" s="8">
        <f>B13*'[4]32тарифы'!D184</f>
        <v>0</v>
      </c>
      <c r="C59" s="9"/>
      <c r="D59" s="10"/>
    </row>
    <row r="60" spans="1:5" hidden="1" x14ac:dyDescent="0.25">
      <c r="A60" s="19" t="s">
        <v>279</v>
      </c>
      <c r="B60" s="70">
        <v>0</v>
      </c>
      <c r="C60" s="9"/>
      <c r="D60" s="10"/>
    </row>
    <row r="61" spans="1:5" hidden="1" x14ac:dyDescent="0.25">
      <c r="A61" s="19" t="s">
        <v>280</v>
      </c>
      <c r="B61" s="70">
        <v>0</v>
      </c>
      <c r="C61" s="9"/>
      <c r="D61" s="10">
        <v>0</v>
      </c>
    </row>
    <row r="62" spans="1:5" hidden="1" x14ac:dyDescent="0.25">
      <c r="A62" s="127" t="s">
        <v>336</v>
      </c>
      <c r="B62" s="11">
        <v>0</v>
      </c>
      <c r="C62" s="9"/>
      <c r="D62" s="10">
        <v>0</v>
      </c>
    </row>
    <row r="63" spans="1:5" x14ac:dyDescent="0.25">
      <c r="A63" s="127" t="s">
        <v>325</v>
      </c>
      <c r="B63" s="132">
        <v>20434.16</v>
      </c>
      <c r="C63" s="30">
        <v>1</v>
      </c>
      <c r="D63" s="10">
        <v>0</v>
      </c>
    </row>
    <row r="64" spans="1:5" hidden="1" x14ac:dyDescent="0.25">
      <c r="A64" s="19" t="s">
        <v>283</v>
      </c>
      <c r="B64" s="132">
        <v>0</v>
      </c>
      <c r="C64" s="30">
        <v>60</v>
      </c>
      <c r="D64" s="10">
        <v>2</v>
      </c>
      <c r="E64" s="3">
        <v>1</v>
      </c>
    </row>
    <row r="65" spans="1:4" hidden="1" x14ac:dyDescent="0.25">
      <c r="A65" s="19" t="s">
        <v>281</v>
      </c>
      <c r="B65" s="132">
        <v>0</v>
      </c>
      <c r="C65" s="32">
        <v>60</v>
      </c>
      <c r="D65" s="24">
        <f>650/1.18</f>
        <v>550.84745762711873</v>
      </c>
    </row>
    <row r="66" spans="1:4" s="4" customFormat="1" x14ac:dyDescent="0.25">
      <c r="A66" s="133" t="s">
        <v>285</v>
      </c>
      <c r="B66" s="121">
        <f>SUM(B67:B74)</f>
        <v>156704.4849643007</v>
      </c>
      <c r="C66" s="23"/>
      <c r="D66" s="24"/>
    </row>
    <row r="67" spans="1:4" hidden="1" x14ac:dyDescent="0.25">
      <c r="A67" s="19" t="s">
        <v>286</v>
      </c>
      <c r="B67" s="11">
        <v>0</v>
      </c>
      <c r="C67" s="23"/>
      <c r="D67" s="24"/>
    </row>
    <row r="68" spans="1:4" x14ac:dyDescent="0.25">
      <c r="A68" s="127" t="s">
        <v>287</v>
      </c>
      <c r="B68" s="135">
        <f>61017*1.04*1.0952</f>
        <v>69498.851135999997</v>
      </c>
      <c r="C68" s="23"/>
      <c r="D68" s="24"/>
    </row>
    <row r="69" spans="1:4" hidden="1" x14ac:dyDescent="0.25">
      <c r="A69" s="19" t="s">
        <v>288</v>
      </c>
      <c r="B69" s="11">
        <v>0</v>
      </c>
      <c r="C69" s="23"/>
      <c r="D69" s="24"/>
    </row>
    <row r="70" spans="1:4" x14ac:dyDescent="0.25">
      <c r="A70" s="129" t="s">
        <v>289</v>
      </c>
      <c r="B70" s="11">
        <f>1.35*B15</f>
        <v>3578.1750000000002</v>
      </c>
      <c r="C70" s="23"/>
      <c r="D70" s="24"/>
    </row>
    <row r="71" spans="1:4" x14ac:dyDescent="0.25">
      <c r="A71" s="129" t="s">
        <v>290</v>
      </c>
      <c r="B71" s="11">
        <f>5.06*B15</f>
        <v>13411.529999999999</v>
      </c>
      <c r="C71" s="23"/>
      <c r="D71" s="24"/>
    </row>
    <row r="72" spans="1:4" x14ac:dyDescent="0.25">
      <c r="A72" s="129" t="s">
        <v>291</v>
      </c>
      <c r="B72" s="11">
        <f>17.68*B15</f>
        <v>46860.84</v>
      </c>
      <c r="C72" s="23"/>
      <c r="D72" s="24"/>
    </row>
    <row r="73" spans="1:4" x14ac:dyDescent="0.25">
      <c r="A73" s="129" t="s">
        <v>292</v>
      </c>
      <c r="B73" s="11">
        <f>4595*1.04*1.0952</f>
        <v>5233.7417599999999</v>
      </c>
      <c r="C73" s="23"/>
      <c r="D73" s="24"/>
    </row>
    <row r="74" spans="1:4" x14ac:dyDescent="0.25">
      <c r="A74" s="129" t="s">
        <v>293</v>
      </c>
      <c r="B74" s="11">
        <f>('[4]32тарифы'!D167*B15)+('[4]32тарифы'!D187*B15)*1.0952</f>
        <v>18121.347068300707</v>
      </c>
      <c r="C74" s="23"/>
      <c r="D74" s="24"/>
    </row>
    <row r="75" spans="1:4" ht="63" x14ac:dyDescent="0.25">
      <c r="A75" s="136" t="s">
        <v>294</v>
      </c>
      <c r="B75" s="121">
        <f>SUM(B76:B76)</f>
        <v>90063.989999999991</v>
      </c>
      <c r="C75" s="23"/>
      <c r="D75" s="24"/>
    </row>
    <row r="76" spans="1:4" x14ac:dyDescent="0.25">
      <c r="A76" s="129" t="s">
        <v>295</v>
      </c>
      <c r="B76" s="11">
        <f>33.98*B15</f>
        <v>90063.989999999991</v>
      </c>
      <c r="C76" s="23"/>
      <c r="D76" s="24"/>
    </row>
    <row r="77" spans="1:4" s="4" customFormat="1" x14ac:dyDescent="0.25">
      <c r="A77" s="133" t="s">
        <v>296</v>
      </c>
      <c r="B77" s="121">
        <f>SUM(B78:B81)</f>
        <v>82552.275661136882</v>
      </c>
      <c r="C77" s="23"/>
      <c r="D77" s="24"/>
    </row>
    <row r="78" spans="1:4" x14ac:dyDescent="0.25">
      <c r="A78" s="137" t="s">
        <v>297</v>
      </c>
      <c r="B78" s="11">
        <f>'[4]32тарифы'!D170*B15*1.0952</f>
        <v>62550.535367087672</v>
      </c>
      <c r="C78" s="23"/>
      <c r="D78" s="24"/>
    </row>
    <row r="79" spans="1:4" hidden="1" x14ac:dyDescent="0.25">
      <c r="A79" s="137" t="s">
        <v>298</v>
      </c>
      <c r="B79" s="135">
        <f>(B26/1.2)*30%</f>
        <v>0</v>
      </c>
      <c r="C79" s="23"/>
      <c r="D79" s="24"/>
    </row>
    <row r="80" spans="1:4" x14ac:dyDescent="0.25">
      <c r="A80" s="138" t="s">
        <v>299</v>
      </c>
      <c r="B80" s="11">
        <f>8012.88+6734.76</f>
        <v>14747.64</v>
      </c>
      <c r="C80" s="23"/>
      <c r="D80" s="24"/>
    </row>
    <row r="81" spans="1:4" x14ac:dyDescent="0.25">
      <c r="A81" s="138" t="s">
        <v>300</v>
      </c>
      <c r="B81" s="11">
        <f>'[4]32тарифы'!D173*B13*1.01</f>
        <v>5254.1002940492053</v>
      </c>
      <c r="C81" s="23"/>
      <c r="D81" s="24"/>
    </row>
    <row r="82" spans="1:4" x14ac:dyDescent="0.25">
      <c r="A82" s="233" t="s">
        <v>301</v>
      </c>
      <c r="B82" s="14">
        <f>B32+B42+B46+B66+B75+B77</f>
        <v>772970.88234979392</v>
      </c>
      <c r="C82" s="23"/>
      <c r="D82" s="24"/>
    </row>
    <row r="83" spans="1:4" x14ac:dyDescent="0.25">
      <c r="A83" s="139" t="s">
        <v>302</v>
      </c>
      <c r="B83" s="11">
        <f>B82*0.03</f>
        <v>23189.126470493815</v>
      </c>
      <c r="C83" s="23"/>
      <c r="D83" s="24"/>
    </row>
    <row r="84" spans="1:4" s="18" customFormat="1" x14ac:dyDescent="0.25">
      <c r="A84" s="140" t="s">
        <v>303</v>
      </c>
      <c r="B84" s="121">
        <f>B82+B83</f>
        <v>796160.00882028777</v>
      </c>
      <c r="C84" s="23"/>
      <c r="D84" s="24"/>
    </row>
    <row r="85" spans="1:4" ht="16.5" thickBot="1" x14ac:dyDescent="0.3">
      <c r="A85" s="141" t="s">
        <v>304</v>
      </c>
      <c r="B85" s="142">
        <f>B84*0.2</f>
        <v>159232.00176405755</v>
      </c>
      <c r="C85" s="23"/>
      <c r="D85" s="24"/>
    </row>
    <row r="86" spans="1:4" s="4" customFormat="1" ht="16.5" thickBot="1" x14ac:dyDescent="0.3">
      <c r="A86" s="38" t="s">
        <v>305</v>
      </c>
      <c r="B86" s="46">
        <f>B84+B85</f>
        <v>955392.01058434532</v>
      </c>
      <c r="C86" s="40"/>
      <c r="D86" s="41"/>
    </row>
    <row r="87" spans="1:4" s="4" customFormat="1" ht="16.5" thickBot="1" x14ac:dyDescent="0.3">
      <c r="A87" s="42" t="s">
        <v>306</v>
      </c>
      <c r="B87" s="46">
        <f>B10+B24+B26+B28+B29-B86</f>
        <v>-621601.66058434534</v>
      </c>
      <c r="C87" s="43"/>
      <c r="D87" s="43"/>
    </row>
    <row r="88" spans="1:4" s="4" customFormat="1" ht="16.5" hidden="1" thickBot="1" x14ac:dyDescent="0.3">
      <c r="A88" s="44" t="s">
        <v>307</v>
      </c>
      <c r="B88" s="46"/>
      <c r="C88" s="43"/>
      <c r="D88" s="43"/>
    </row>
    <row r="89" spans="1:4" s="4" customFormat="1" ht="16.5" hidden="1" thickBot="1" x14ac:dyDescent="0.3">
      <c r="A89" s="143" t="s">
        <v>308</v>
      </c>
      <c r="B89" s="46"/>
      <c r="C89" s="43"/>
      <c r="D89" s="43"/>
    </row>
    <row r="90" spans="1:4" x14ac:dyDescent="0.25">
      <c r="B90" s="130"/>
    </row>
    <row r="91" spans="1:4" ht="10.5" customHeight="1" x14ac:dyDescent="0.25">
      <c r="A91" s="49"/>
    </row>
    <row r="92" spans="1:4" x14ac:dyDescent="0.25">
      <c r="A92" s="286" t="s">
        <v>542</v>
      </c>
      <c r="B92" s="286"/>
    </row>
    <row r="93" spans="1:4" x14ac:dyDescent="0.25">
      <c r="A93" s="49"/>
    </row>
    <row r="94" spans="1:4" hidden="1" x14ac:dyDescent="0.25">
      <c r="A94" s="292" t="s">
        <v>399</v>
      </c>
      <c r="B94" s="292"/>
      <c r="C94" s="51"/>
    </row>
  </sheetData>
  <autoFilter ref="A31:G89" xr:uid="{00000000-0009-0000-0000-000019000000}">
    <filterColumn colId="1">
      <filters>
        <filter val="1 440,00"/>
        <filter val="11 758,36"/>
        <filter val="113 060,00"/>
        <filter val="13 411,53"/>
        <filter val="134 988,30"/>
        <filter val="14 747,64"/>
        <filter val="156 704,48"/>
        <filter val="159 232,00"/>
        <filter val="18 121,35"/>
        <filter val="19 067,40"/>
        <filter val="19 117,21"/>
        <filter val="2 033,62"/>
        <filter val="2 404,92"/>
        <filter val="20 434,16"/>
        <filter val="21 271,77"/>
        <filter val="23 189,13"/>
        <filter val="25 029,19"/>
        <filter val="287 390,06"/>
        <filter val="3 578,18"/>
        <filter val="46 860,84"/>
        <filter val="5 233,74"/>
        <filter val="5 254,10"/>
        <filter val="57 115,69"/>
        <filter val="62 550,54"/>
        <filter val="-621 601,66"/>
        <filter val="65 490,41"/>
        <filter val="68 074,00"/>
        <filter val="69 498,85"/>
        <filter val="7 577,56"/>
        <filter val="700,00"/>
        <filter val="772 970,88"/>
        <filter val="796 160,01"/>
        <filter val="82 552,28"/>
        <filter val="9 075,84"/>
        <filter val="90 063,99"/>
        <filter val="955 392,01"/>
      </filters>
    </filterColumn>
  </autoFilter>
  <mergeCells count="9">
    <mergeCell ref="A94:B94"/>
    <mergeCell ref="C8:C9"/>
    <mergeCell ref="D8:D9"/>
    <mergeCell ref="A1:B1"/>
    <mergeCell ref="A2:B2"/>
    <mergeCell ref="A3:B3"/>
    <mergeCell ref="A8:A9"/>
    <mergeCell ref="B8:B9"/>
    <mergeCell ref="A92:B92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filterMode="1">
    <pageSetUpPr fitToPage="1"/>
  </sheetPr>
  <dimension ref="A1:G95"/>
  <sheetViews>
    <sheetView view="pageBreakPreview" topLeftCell="A66" zoomScale="75" zoomScaleNormal="100" zoomScaleSheetLayoutView="75" workbookViewId="0">
      <selection activeCell="A24" sqref="A24:B24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78</v>
      </c>
      <c r="B5" s="184"/>
      <c r="C5" s="3"/>
      <c r="D5" s="3"/>
    </row>
    <row r="6" spans="1:4" ht="5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3.5" thickBot="1" x14ac:dyDescent="0.25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313019.05</v>
      </c>
      <c r="C10" s="226"/>
      <c r="D10" s="226"/>
    </row>
    <row r="11" spans="1:4" s="227" customFormat="1" ht="16.5" hidden="1" thickBot="1" x14ac:dyDescent="0.3">
      <c r="A11" s="228" t="s">
        <v>232</v>
      </c>
      <c r="B11" s="229"/>
      <c r="C11" s="230"/>
      <c r="D11" s="230"/>
    </row>
    <row r="12" spans="1:4" ht="15.75" x14ac:dyDescent="0.25">
      <c r="A12" s="231" t="s">
        <v>233</v>
      </c>
      <c r="B12" s="210"/>
      <c r="C12" s="5" t="s">
        <v>234</v>
      </c>
      <c r="D12" s="6" t="s">
        <v>234</v>
      </c>
    </row>
    <row r="13" spans="1:4" ht="15.75" hidden="1" x14ac:dyDescent="0.25">
      <c r="A13" s="7" t="s">
        <v>235</v>
      </c>
      <c r="B13" s="8">
        <v>3177</v>
      </c>
      <c r="C13" s="9" t="s">
        <v>234</v>
      </c>
      <c r="D13" s="10" t="s">
        <v>234</v>
      </c>
    </row>
    <row r="14" spans="1:4" ht="15.75" hidden="1" x14ac:dyDescent="0.25">
      <c r="A14" s="7" t="s">
        <v>236</v>
      </c>
      <c r="B14" s="11">
        <v>0</v>
      </c>
      <c r="C14" s="9"/>
      <c r="D14" s="10"/>
    </row>
    <row r="15" spans="1:4" ht="15.75" hidden="1" x14ac:dyDescent="0.25">
      <c r="A15" s="123" t="s">
        <v>237</v>
      </c>
      <c r="B15" s="11">
        <f>B13+B14</f>
        <v>3177</v>
      </c>
      <c r="C15" s="9"/>
      <c r="D15" s="10"/>
    </row>
    <row r="16" spans="1:4" ht="15.75" hidden="1" x14ac:dyDescent="0.25">
      <c r="A16" s="123" t="s">
        <v>238</v>
      </c>
      <c r="B16" s="11">
        <f>727.4+2890.7/3</f>
        <v>1690.9666666666667</v>
      </c>
      <c r="C16" s="9" t="s">
        <v>234</v>
      </c>
      <c r="D16" s="10" t="s">
        <v>234</v>
      </c>
    </row>
    <row r="17" spans="1:7" ht="15.75" hidden="1" x14ac:dyDescent="0.25">
      <c r="A17" s="7" t="s">
        <v>239</v>
      </c>
      <c r="B17" s="11">
        <v>0</v>
      </c>
      <c r="C17" s="9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7" t="s">
        <v>240</v>
      </c>
      <c r="B18" s="11">
        <v>0</v>
      </c>
      <c r="C18" s="9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7" t="s">
        <v>241</v>
      </c>
      <c r="B19" s="8">
        <v>840</v>
      </c>
      <c r="C19" s="9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7" t="s">
        <v>242</v>
      </c>
      <c r="B20" s="8">
        <v>1404</v>
      </c>
      <c r="C20" s="9"/>
      <c r="D20" s="10"/>
      <c r="E20" s="3"/>
      <c r="F20" s="3"/>
      <c r="G20" s="3"/>
    </row>
    <row r="21" spans="1:7" ht="15.75" hidden="1" x14ac:dyDescent="0.25">
      <c r="A21" s="7" t="s">
        <v>243</v>
      </c>
      <c r="B21" s="11">
        <v>0</v>
      </c>
      <c r="C21" s="9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7" t="s">
        <v>244</v>
      </c>
      <c r="B22" s="8">
        <v>176</v>
      </c>
      <c r="C22" s="9"/>
      <c r="D22" s="10"/>
      <c r="E22" s="3"/>
      <c r="F22" s="3"/>
      <c r="G22" s="3"/>
    </row>
    <row r="23" spans="1:7" ht="15.75" x14ac:dyDescent="0.25">
      <c r="A23" s="123"/>
      <c r="B23" s="11"/>
      <c r="C23" s="9"/>
      <c r="D23" s="10"/>
      <c r="E23" s="3"/>
      <c r="F23" s="3"/>
      <c r="G23" s="3"/>
    </row>
    <row r="24" spans="1:7" ht="15.75" x14ac:dyDescent="0.25">
      <c r="A24" s="259" t="s">
        <v>317</v>
      </c>
      <c r="B24" s="255">
        <f>VLOOKUP(A5,мкд!W:X,2,FALSE)</f>
        <v>775217.54</v>
      </c>
      <c r="C24" s="9"/>
      <c r="D24" s="10"/>
      <c r="E24" s="194">
        <v>17.939999999999998</v>
      </c>
      <c r="F24" s="195">
        <v>20.082035999999995</v>
      </c>
      <c r="G24" s="3"/>
    </row>
    <row r="25" spans="1:7" ht="15.75" x14ac:dyDescent="0.25">
      <c r="A25" s="124" t="s">
        <v>318</v>
      </c>
      <c r="B25" s="14">
        <f>VLOOKUP(A5,мкд!W:Y,3,FALSE)</f>
        <v>763706.15999999992</v>
      </c>
      <c r="C25" s="9"/>
      <c r="D25" s="10"/>
      <c r="E25" s="3"/>
      <c r="F25" s="3"/>
      <c r="G25" s="3"/>
    </row>
    <row r="26" spans="1:7" ht="15.75" hidden="1" x14ac:dyDescent="0.25">
      <c r="A26" s="124" t="s">
        <v>319</v>
      </c>
      <c r="B26" s="14"/>
      <c r="C26" s="9"/>
      <c r="D26" s="10"/>
      <c r="E26" s="3"/>
      <c r="F26" s="3"/>
      <c r="G26" s="3"/>
    </row>
    <row r="27" spans="1:7" ht="15.75" hidden="1" x14ac:dyDescent="0.25">
      <c r="A27" s="124" t="s">
        <v>248</v>
      </c>
      <c r="B27" s="14">
        <f>B26</f>
        <v>0</v>
      </c>
      <c r="C27" s="9"/>
      <c r="D27" s="10"/>
      <c r="E27" s="3"/>
      <c r="F27" s="3"/>
      <c r="G27" s="3"/>
    </row>
    <row r="28" spans="1:7" ht="15.75" x14ac:dyDescent="0.25">
      <c r="A28" s="124" t="s">
        <v>391</v>
      </c>
      <c r="B28" s="14">
        <v>9097.23</v>
      </c>
      <c r="C28" s="9"/>
      <c r="D28" s="10"/>
      <c r="E28" s="3"/>
      <c r="F28" s="3"/>
      <c r="G28" s="3"/>
    </row>
    <row r="29" spans="1:7" ht="15.75" hidden="1" x14ac:dyDescent="0.25">
      <c r="A29" s="124" t="s">
        <v>250</v>
      </c>
      <c r="B29" s="11"/>
      <c r="C29" s="9"/>
      <c r="D29" s="10"/>
      <c r="E29" s="3"/>
      <c r="F29" s="3"/>
      <c r="G29" s="3"/>
    </row>
    <row r="30" spans="1:7" ht="15.75" x14ac:dyDescent="0.25">
      <c r="A30" s="125"/>
      <c r="B30" s="11"/>
      <c r="C30" s="9"/>
      <c r="D30" s="10"/>
      <c r="E30" s="3"/>
      <c r="F30" s="3"/>
      <c r="G30" s="3"/>
    </row>
    <row r="31" spans="1:7" ht="15.75" x14ac:dyDescent="0.25">
      <c r="A31" s="232" t="s">
        <v>251</v>
      </c>
      <c r="B31" s="11"/>
      <c r="C31" s="9"/>
      <c r="D31" s="10"/>
      <c r="E31" s="3"/>
      <c r="F31" s="3"/>
      <c r="G31" s="3"/>
    </row>
    <row r="32" spans="1:7" s="18" customFormat="1" ht="31.5" x14ac:dyDescent="0.25">
      <c r="A32" s="126" t="s">
        <v>252</v>
      </c>
      <c r="B32" s="121">
        <f>SUM(B33:B41)</f>
        <v>158914.44</v>
      </c>
      <c r="C32" s="9"/>
      <c r="D32" s="10"/>
      <c r="E32" s="17">
        <f>(B86-B24-B26)/1.2/1.03</f>
        <v>116581.64359644902</v>
      </c>
      <c r="F32" s="17" t="e">
        <f>(#REF!-#REF!-#REF!)/1.2/1.03</f>
        <v>#REF!</v>
      </c>
      <c r="G32" s="17" t="e">
        <f>(#REF!-#REF!-#REF!)/1.2/1.03</f>
        <v>#REF!</v>
      </c>
    </row>
    <row r="33" spans="1:7" ht="15.75" x14ac:dyDescent="0.25">
      <c r="A33" s="127" t="s">
        <v>253</v>
      </c>
      <c r="B33" s="11">
        <v>69148.23</v>
      </c>
      <c r="C33" s="9"/>
      <c r="D33" s="10">
        <v>37209.97</v>
      </c>
      <c r="E33" s="3"/>
      <c r="F33" s="3"/>
      <c r="G33" s="3"/>
    </row>
    <row r="34" spans="1:7" ht="15.75" x14ac:dyDescent="0.25">
      <c r="A34" s="150" t="s">
        <v>338</v>
      </c>
      <c r="B34" s="151">
        <v>34375.199999999997</v>
      </c>
      <c r="C34" s="9"/>
      <c r="D34" s="10">
        <v>0</v>
      </c>
      <c r="E34" s="3"/>
      <c r="F34" s="3"/>
      <c r="G34" s="3"/>
    </row>
    <row r="35" spans="1:7" ht="15.75" x14ac:dyDescent="0.25">
      <c r="A35" s="150" t="s">
        <v>538</v>
      </c>
      <c r="B35" s="152">
        <v>30807.119999999999</v>
      </c>
      <c r="C35" s="9"/>
      <c r="D35" s="10">
        <v>0</v>
      </c>
      <c r="E35" s="3"/>
      <c r="F35" s="3"/>
      <c r="G35" s="3"/>
    </row>
    <row r="36" spans="1:7" ht="15.75" x14ac:dyDescent="0.25">
      <c r="A36" s="127" t="s">
        <v>255</v>
      </c>
      <c r="B36" s="11">
        <v>19224.95</v>
      </c>
      <c r="C36" s="9" t="s">
        <v>234</v>
      </c>
      <c r="D36" s="10">
        <v>0</v>
      </c>
      <c r="E36" s="3"/>
      <c r="F36" s="3"/>
      <c r="G36" s="3"/>
    </row>
    <row r="37" spans="1:7" ht="15.75" hidden="1" x14ac:dyDescent="0.25">
      <c r="A37" s="127" t="s">
        <v>392</v>
      </c>
      <c r="B37" s="11"/>
      <c r="C37" s="9"/>
      <c r="D37" s="10">
        <v>0</v>
      </c>
      <c r="E37" s="3"/>
      <c r="F37" s="3"/>
      <c r="G37" s="3"/>
    </row>
    <row r="38" spans="1:7" ht="15.75" hidden="1" x14ac:dyDescent="0.25">
      <c r="A38" s="127" t="s">
        <v>258</v>
      </c>
      <c r="B38" s="11">
        <v>0</v>
      </c>
      <c r="C38" s="9"/>
      <c r="D38" s="10">
        <v>0</v>
      </c>
      <c r="E38" s="3"/>
      <c r="F38" s="3"/>
      <c r="G38" s="3"/>
    </row>
    <row r="39" spans="1:7" ht="15.75" hidden="1" x14ac:dyDescent="0.25">
      <c r="A39" s="19" t="s">
        <v>259</v>
      </c>
      <c r="B39" s="11">
        <v>0</v>
      </c>
      <c r="C39" s="9"/>
      <c r="D39" s="10">
        <v>0</v>
      </c>
      <c r="E39" s="3"/>
      <c r="F39" s="3"/>
      <c r="G39" s="3"/>
    </row>
    <row r="40" spans="1:7" ht="15.75" hidden="1" x14ac:dyDescent="0.25">
      <c r="A40" s="19" t="s">
        <v>335</v>
      </c>
      <c r="B40" s="11"/>
      <c r="C40" s="9"/>
      <c r="D40" s="10"/>
      <c r="E40" s="3"/>
      <c r="F40" s="3"/>
      <c r="G40" s="3"/>
    </row>
    <row r="41" spans="1:7" ht="15.75" x14ac:dyDescent="0.25">
      <c r="A41" s="19" t="s">
        <v>339</v>
      </c>
      <c r="B41" s="11">
        <v>5358.94</v>
      </c>
      <c r="C41" s="9"/>
      <c r="D41" s="10"/>
      <c r="E41" s="3"/>
      <c r="F41" s="3"/>
      <c r="G41" s="3"/>
    </row>
    <row r="42" spans="1:7" s="18" customFormat="1" ht="47.25" x14ac:dyDescent="0.25">
      <c r="A42" s="126" t="s">
        <v>393</v>
      </c>
      <c r="B42" s="121">
        <f>SUM(B43:B45)</f>
        <v>26450.724119718125</v>
      </c>
      <c r="C42" s="9"/>
      <c r="D42" s="10"/>
      <c r="E42" s="17"/>
      <c r="F42" s="17"/>
      <c r="G42" s="17"/>
    </row>
    <row r="43" spans="1:7" ht="15.75" x14ac:dyDescent="0.25">
      <c r="A43" s="19" t="s">
        <v>262</v>
      </c>
      <c r="B43" s="11">
        <v>7532.53</v>
      </c>
      <c r="C43" s="23"/>
      <c r="D43" s="24"/>
      <c r="E43" s="3"/>
      <c r="F43" s="3"/>
      <c r="G43" s="3"/>
    </row>
    <row r="44" spans="1:7" ht="15.75" hidden="1" x14ac:dyDescent="0.25">
      <c r="A44" s="19" t="s">
        <v>263</v>
      </c>
      <c r="B44" s="11"/>
      <c r="C44" s="23"/>
      <c r="D44" s="24"/>
      <c r="E44" s="3"/>
      <c r="F44" s="3"/>
      <c r="G44" s="3"/>
    </row>
    <row r="45" spans="1:7" ht="15.75" x14ac:dyDescent="0.25">
      <c r="A45" s="129" t="s">
        <v>264</v>
      </c>
      <c r="B45" s="11">
        <f>'[4]32тарифы'!D163*B15*1.0952+409.01*1.12</f>
        <v>18918.194119718126</v>
      </c>
      <c r="C45" s="23"/>
      <c r="D45" s="24"/>
      <c r="E45" s="3"/>
      <c r="F45" s="3"/>
      <c r="G45" s="3"/>
    </row>
    <row r="46" spans="1:7" s="4" customFormat="1" ht="15.75" x14ac:dyDescent="0.25">
      <c r="A46" s="126" t="s">
        <v>265</v>
      </c>
      <c r="B46" s="121">
        <f>SUM(B47:B65)</f>
        <v>121503.09</v>
      </c>
      <c r="C46" s="9"/>
      <c r="D46" s="10"/>
    </row>
    <row r="47" spans="1:7" ht="15.75" hidden="1" x14ac:dyDescent="0.25">
      <c r="A47" s="127" t="s">
        <v>324</v>
      </c>
      <c r="B47" s="11">
        <v>0</v>
      </c>
      <c r="C47" s="9"/>
      <c r="D47" s="10"/>
      <c r="E47" s="3" t="s">
        <v>267</v>
      </c>
      <c r="F47" s="3"/>
      <c r="G47" s="3"/>
    </row>
    <row r="48" spans="1:7" ht="15.75" hidden="1" x14ac:dyDescent="0.25">
      <c r="A48" s="127" t="s">
        <v>315</v>
      </c>
      <c r="B48" s="11"/>
      <c r="C48" s="9"/>
      <c r="D48" s="10"/>
      <c r="E48" s="3" t="s">
        <v>269</v>
      </c>
      <c r="F48" s="3"/>
      <c r="G48" s="3"/>
    </row>
    <row r="49" spans="1:5" ht="15.75" hidden="1" x14ac:dyDescent="0.25">
      <c r="A49" s="95" t="s">
        <v>346</v>
      </c>
      <c r="B49" s="11"/>
      <c r="C49" s="9"/>
      <c r="D49" s="10"/>
      <c r="E49" s="3"/>
    </row>
    <row r="50" spans="1:5" ht="15.75" x14ac:dyDescent="0.25">
      <c r="A50" s="95" t="s">
        <v>281</v>
      </c>
      <c r="B50" s="8">
        <f>176.53+197</f>
        <v>373.53</v>
      </c>
      <c r="C50" s="9"/>
      <c r="D50" s="10"/>
      <c r="E50" s="3"/>
    </row>
    <row r="51" spans="1:5" ht="15.75" hidden="1" x14ac:dyDescent="0.25">
      <c r="A51" s="95" t="s">
        <v>360</v>
      </c>
      <c r="B51" s="11"/>
      <c r="C51" s="9"/>
      <c r="D51" s="10"/>
      <c r="E51" s="3"/>
    </row>
    <row r="52" spans="1:5" ht="15.75" x14ac:dyDescent="0.25">
      <c r="A52" s="95" t="s">
        <v>373</v>
      </c>
      <c r="B52" s="11">
        <v>8133.61</v>
      </c>
      <c r="C52" s="9"/>
      <c r="D52" s="10">
        <v>105.14</v>
      </c>
      <c r="E52" s="3"/>
    </row>
    <row r="53" spans="1:5" ht="15.75" x14ac:dyDescent="0.25">
      <c r="A53" s="131" t="s">
        <v>410</v>
      </c>
      <c r="B53" s="8">
        <v>24000</v>
      </c>
      <c r="C53" s="9">
        <v>2</v>
      </c>
      <c r="D53" s="10">
        <v>522.99</v>
      </c>
      <c r="E53" s="3"/>
    </row>
    <row r="54" spans="1:5" ht="15.75" hidden="1" x14ac:dyDescent="0.25">
      <c r="A54" s="111" t="s">
        <v>340</v>
      </c>
      <c r="B54" s="8"/>
      <c r="C54" s="9">
        <v>1</v>
      </c>
      <c r="D54" s="28">
        <v>657.53</v>
      </c>
      <c r="E54" s="3"/>
    </row>
    <row r="55" spans="1:5" ht="15.75" hidden="1" x14ac:dyDescent="0.25">
      <c r="A55" s="95" t="s">
        <v>276</v>
      </c>
      <c r="B55" s="11">
        <v>0</v>
      </c>
      <c r="C55" s="9"/>
      <c r="D55" s="28"/>
      <c r="E55" s="3"/>
    </row>
    <row r="56" spans="1:5" ht="15.75" hidden="1" x14ac:dyDescent="0.25">
      <c r="A56" s="95" t="s">
        <v>277</v>
      </c>
      <c r="B56" s="11">
        <v>0</v>
      </c>
      <c r="C56" s="9">
        <v>0</v>
      </c>
      <c r="D56" s="10">
        <f>10695.76/1.18</f>
        <v>9064.203389830509</v>
      </c>
      <c r="E56" s="3"/>
    </row>
    <row r="57" spans="1:5" ht="15.75" customHeight="1" x14ac:dyDescent="0.25">
      <c r="A57" s="95" t="s">
        <v>520</v>
      </c>
      <c r="B57" s="11">
        <v>4200</v>
      </c>
      <c r="C57" s="9">
        <v>0</v>
      </c>
      <c r="D57" s="10">
        <f>2300/1.18</f>
        <v>1949.1525423728815</v>
      </c>
      <c r="E57" s="3"/>
    </row>
    <row r="58" spans="1:5" ht="17.25" customHeight="1" x14ac:dyDescent="0.25">
      <c r="A58" s="95" t="s">
        <v>519</v>
      </c>
      <c r="B58" s="8">
        <v>15912</v>
      </c>
      <c r="C58" s="9">
        <v>0</v>
      </c>
      <c r="D58" s="10">
        <v>0</v>
      </c>
      <c r="E58" s="3"/>
    </row>
    <row r="59" spans="1:5" ht="16.5" x14ac:dyDescent="0.25">
      <c r="A59" s="147" t="s">
        <v>518</v>
      </c>
      <c r="B59" s="8">
        <v>17586.64</v>
      </c>
      <c r="C59" s="9"/>
      <c r="D59" s="10"/>
      <c r="E59" s="3"/>
    </row>
    <row r="60" spans="1:5" ht="15.75" hidden="1" x14ac:dyDescent="0.25">
      <c r="A60" s="19" t="s">
        <v>279</v>
      </c>
      <c r="B60" s="70">
        <v>0</v>
      </c>
      <c r="C60" s="9"/>
      <c r="D60" s="10"/>
      <c r="E60" s="130">
        <f>B80+B46-B59+653.98</f>
        <v>121514.79999999999</v>
      </c>
    </row>
    <row r="61" spans="1:5" ht="15.75" hidden="1" x14ac:dyDescent="0.25">
      <c r="A61" s="19" t="s">
        <v>280</v>
      </c>
      <c r="B61" s="70">
        <v>0</v>
      </c>
      <c r="C61" s="9"/>
      <c r="D61" s="10">
        <v>0</v>
      </c>
      <c r="E61" s="3"/>
    </row>
    <row r="62" spans="1:5" ht="15.75" hidden="1" x14ac:dyDescent="0.25">
      <c r="A62" s="127" t="s">
        <v>344</v>
      </c>
      <c r="B62" s="11"/>
      <c r="C62" s="9"/>
      <c r="D62" s="10">
        <v>0</v>
      </c>
      <c r="E62" s="3"/>
    </row>
    <row r="63" spans="1:5" ht="15.75" x14ac:dyDescent="0.25">
      <c r="A63" s="127" t="s">
        <v>325</v>
      </c>
      <c r="B63" s="132">
        <v>25874.11</v>
      </c>
      <c r="C63" s="30">
        <v>1</v>
      </c>
      <c r="D63" s="10">
        <v>0</v>
      </c>
      <c r="E63" s="3"/>
    </row>
    <row r="64" spans="1:5" ht="15.75" x14ac:dyDescent="0.25">
      <c r="A64" s="19" t="s">
        <v>283</v>
      </c>
      <c r="B64" s="132">
        <f>VLOOKUP(A5,'[2]МКД 33'!$AI:$FO,137,FALSE)</f>
        <v>25423.200000000004</v>
      </c>
      <c r="C64" s="30">
        <v>80</v>
      </c>
      <c r="D64" s="10">
        <v>2</v>
      </c>
      <c r="E64" s="3">
        <v>1</v>
      </c>
    </row>
    <row r="65" spans="1:4" ht="15.75" hidden="1" x14ac:dyDescent="0.25">
      <c r="A65" s="19" t="s">
        <v>284</v>
      </c>
      <c r="B65" s="132">
        <v>0</v>
      </c>
      <c r="C65" s="32"/>
      <c r="D65" s="24">
        <v>0</v>
      </c>
    </row>
    <row r="66" spans="1:4" s="4" customFormat="1" ht="15.75" x14ac:dyDescent="0.25">
      <c r="A66" s="133" t="s">
        <v>285</v>
      </c>
      <c r="B66" s="121">
        <f>SUM(B67:B74)</f>
        <v>220986.93203742008</v>
      </c>
      <c r="C66" s="23"/>
      <c r="D66" s="24"/>
    </row>
    <row r="67" spans="1:4" ht="15.75" hidden="1" x14ac:dyDescent="0.25">
      <c r="A67" s="19" t="s">
        <v>286</v>
      </c>
      <c r="B67" s="11">
        <v>0</v>
      </c>
      <c r="C67" s="23"/>
      <c r="D67" s="24"/>
    </row>
    <row r="68" spans="1:4" ht="15.75" x14ac:dyDescent="0.25">
      <c r="A68" s="127" t="s">
        <v>287</v>
      </c>
      <c r="B68" s="135">
        <f>46.2*B16</f>
        <v>78122.66</v>
      </c>
      <c r="C68" s="23"/>
      <c r="D68" s="24"/>
    </row>
    <row r="69" spans="1:4" ht="15.75" hidden="1" x14ac:dyDescent="0.25">
      <c r="A69" s="19" t="s">
        <v>288</v>
      </c>
      <c r="B69" s="11">
        <v>0</v>
      </c>
      <c r="C69" s="23"/>
      <c r="D69" s="24"/>
    </row>
    <row r="70" spans="1:4" ht="15.75" x14ac:dyDescent="0.25">
      <c r="A70" s="129" t="s">
        <v>289</v>
      </c>
      <c r="B70" s="11">
        <f>1.35*B15</f>
        <v>4288.9500000000007</v>
      </c>
      <c r="C70" s="23"/>
      <c r="D70" s="24"/>
    </row>
    <row r="71" spans="1:4" ht="15.75" x14ac:dyDescent="0.25">
      <c r="A71" s="129" t="s">
        <v>290</v>
      </c>
      <c r="B71" s="11">
        <f>5.06*B15</f>
        <v>16075.619999999999</v>
      </c>
      <c r="C71" s="23"/>
      <c r="D71" s="24"/>
    </row>
    <row r="72" spans="1:4" ht="15.75" x14ac:dyDescent="0.25">
      <c r="A72" s="129" t="s">
        <v>291</v>
      </c>
      <c r="B72" s="11">
        <f>17.68*B15</f>
        <v>56169.36</v>
      </c>
      <c r="C72" s="23"/>
      <c r="D72" s="24"/>
    </row>
    <row r="73" spans="1:4" ht="15.75" x14ac:dyDescent="0.25">
      <c r="A73" s="129" t="s">
        <v>292</v>
      </c>
      <c r="B73" s="11">
        <f>1.04*5505.86192047033*1.12*1.0952</f>
        <v>7023.7672672283989</v>
      </c>
      <c r="C73" s="23"/>
      <c r="D73" s="24"/>
    </row>
    <row r="74" spans="1:4" ht="15.75" x14ac:dyDescent="0.25">
      <c r="A74" s="129" t="s">
        <v>293</v>
      </c>
      <c r="B74" s="11">
        <f>1.04*46489.8393180354*1.12*1.0952</f>
        <v>59306.574770191692</v>
      </c>
      <c r="C74" s="23"/>
      <c r="D74" s="24"/>
    </row>
    <row r="75" spans="1:4" ht="63" x14ac:dyDescent="0.25">
      <c r="A75" s="136" t="s">
        <v>294</v>
      </c>
      <c r="B75" s="121">
        <f>SUM(B76:B76)</f>
        <v>107954.45999999999</v>
      </c>
      <c r="C75" s="23"/>
      <c r="D75" s="24"/>
    </row>
    <row r="76" spans="1:4" ht="15.75" x14ac:dyDescent="0.25">
      <c r="A76" s="129" t="s">
        <v>295</v>
      </c>
      <c r="B76" s="11">
        <f>33.98*B15</f>
        <v>107954.45999999999</v>
      </c>
      <c r="C76" s="23"/>
      <c r="D76" s="24"/>
    </row>
    <row r="77" spans="1:4" s="4" customFormat="1" ht="15.75" x14ac:dyDescent="0.25">
      <c r="A77" s="133" t="s">
        <v>296</v>
      </c>
      <c r="B77" s="121">
        <f>SUM(B78:B81)</f>
        <v>107970.65439723965</v>
      </c>
      <c r="C77" s="23"/>
      <c r="D77" s="24"/>
    </row>
    <row r="78" spans="1:4" ht="15.75" x14ac:dyDescent="0.25">
      <c r="A78" s="137" t="s">
        <v>297</v>
      </c>
      <c r="B78" s="11">
        <f>'[4]32тарифы'!D170*B15*1.12*1.0952</f>
        <v>83972.766257153766</v>
      </c>
      <c r="C78" s="23"/>
      <c r="D78" s="24"/>
    </row>
    <row r="79" spans="1:4" ht="15.75" hidden="1" x14ac:dyDescent="0.25">
      <c r="A79" s="137" t="s">
        <v>298</v>
      </c>
      <c r="B79" s="135">
        <f>(B26/1.2)*30%</f>
        <v>0</v>
      </c>
      <c r="C79" s="23"/>
      <c r="D79" s="24"/>
    </row>
    <row r="80" spans="1:4" ht="15.75" x14ac:dyDescent="0.25">
      <c r="A80" s="138" t="s">
        <v>299</v>
      </c>
      <c r="B80" s="11">
        <f>10683.84+6260.53</f>
        <v>16944.37</v>
      </c>
      <c r="C80" s="23"/>
      <c r="D80" s="24"/>
    </row>
    <row r="81" spans="1:4" ht="15.75" x14ac:dyDescent="0.25">
      <c r="A81" s="138" t="s">
        <v>300</v>
      </c>
      <c r="B81" s="11">
        <f>'[4]32тарифы'!D173*B13*1.12*1.01</f>
        <v>7053.5181400858874</v>
      </c>
      <c r="C81" s="23"/>
      <c r="D81" s="24"/>
    </row>
    <row r="82" spans="1:4" ht="15.75" x14ac:dyDescent="0.25">
      <c r="A82" s="233" t="s">
        <v>301</v>
      </c>
      <c r="B82" s="14">
        <f>B32+B42+B46+B66+B75+B77</f>
        <v>743780.30055437784</v>
      </c>
      <c r="C82" s="23"/>
      <c r="D82" s="24"/>
    </row>
    <row r="83" spans="1:4" ht="15.75" x14ac:dyDescent="0.25">
      <c r="A83" s="139" t="s">
        <v>302</v>
      </c>
      <c r="B83" s="11">
        <f>B82*0.03</f>
        <v>22313.409016631333</v>
      </c>
      <c r="C83" s="23"/>
      <c r="D83" s="24"/>
    </row>
    <row r="84" spans="1:4" s="18" customFormat="1" ht="15.75" x14ac:dyDescent="0.25">
      <c r="A84" s="140" t="s">
        <v>303</v>
      </c>
      <c r="B84" s="121">
        <f>B82+B83</f>
        <v>766093.70957100915</v>
      </c>
      <c r="C84" s="23"/>
      <c r="D84" s="24"/>
    </row>
    <row r="85" spans="1:4" ht="16.5" thickBot="1" x14ac:dyDescent="0.3">
      <c r="A85" s="141" t="s">
        <v>304</v>
      </c>
      <c r="B85" s="142">
        <f>B84*0.2</f>
        <v>153218.74191420185</v>
      </c>
      <c r="C85" s="23"/>
      <c r="D85" s="24"/>
    </row>
    <row r="86" spans="1:4" s="4" customFormat="1" ht="16.5" thickBot="1" x14ac:dyDescent="0.3">
      <c r="A86" s="38" t="s">
        <v>305</v>
      </c>
      <c r="B86" s="46">
        <f>B84+B85</f>
        <v>919312.45148521103</v>
      </c>
      <c r="C86" s="40"/>
      <c r="D86" s="41"/>
    </row>
    <row r="87" spans="1:4" s="4" customFormat="1" ht="16.5" thickBot="1" x14ac:dyDescent="0.3">
      <c r="A87" s="42" t="s">
        <v>306</v>
      </c>
      <c r="B87" s="46">
        <f>B10+B24+B26+B28+B29-B86</f>
        <v>178021.36851478904</v>
      </c>
      <c r="C87" s="43"/>
      <c r="D87" s="43"/>
    </row>
    <row r="88" spans="1:4" s="4" customFormat="1" ht="16.5" hidden="1" thickBot="1" x14ac:dyDescent="0.3">
      <c r="A88" s="44" t="s">
        <v>307</v>
      </c>
      <c r="B88" s="46"/>
      <c r="C88" s="43"/>
      <c r="D88" s="43"/>
    </row>
    <row r="89" spans="1:4" s="4" customFormat="1" ht="16.5" hidden="1" thickBot="1" x14ac:dyDescent="0.3">
      <c r="A89" s="143" t="s">
        <v>308</v>
      </c>
      <c r="B89" s="46"/>
      <c r="C89" s="43"/>
      <c r="D89" s="43"/>
    </row>
    <row r="90" spans="1:4" ht="15.75" x14ac:dyDescent="0.25">
      <c r="A90" s="3"/>
      <c r="B90" s="130"/>
      <c r="C90" s="3"/>
      <c r="D90" s="3"/>
    </row>
    <row r="91" spans="1:4" ht="10.5" customHeight="1" x14ac:dyDescent="0.25">
      <c r="A91" s="49"/>
      <c r="B91" s="3"/>
      <c r="C91" s="3"/>
      <c r="D91" s="3"/>
    </row>
    <row r="92" spans="1:4" ht="15.75" x14ac:dyDescent="0.25">
      <c r="A92" s="286" t="s">
        <v>542</v>
      </c>
      <c r="B92" s="286"/>
      <c r="C92" s="3"/>
      <c r="D92" s="3"/>
    </row>
    <row r="93" spans="1:4" ht="15.75" x14ac:dyDescent="0.25">
      <c r="A93" s="49"/>
      <c r="B93" s="3"/>
      <c r="C93" s="3"/>
      <c r="D93" s="3"/>
    </row>
    <row r="94" spans="1:4" ht="15.75" hidden="1" x14ac:dyDescent="0.25">
      <c r="A94" s="292" t="s">
        <v>399</v>
      </c>
      <c r="B94" s="292"/>
      <c r="C94" s="51"/>
      <c r="D94" s="3"/>
    </row>
    <row r="95" spans="1:4" ht="15.75" x14ac:dyDescent="0.25">
      <c r="A95" s="3"/>
      <c r="B95" s="3"/>
      <c r="C95" s="3"/>
      <c r="D95" s="3"/>
    </row>
  </sheetData>
  <autoFilter ref="A31:G89" xr:uid="{00000000-0009-0000-0000-00001A000000}">
    <filterColumn colId="1">
      <filters>
        <filter val="107 954,46"/>
        <filter val="107 970,65"/>
        <filter val="121 503,09"/>
        <filter val="15 912,00"/>
        <filter val="153 218,74"/>
        <filter val="158 914,44"/>
        <filter val="16 075,62"/>
        <filter val="16 944,37"/>
        <filter val="17 586,64"/>
        <filter val="178 021,37"/>
        <filter val="18 918,19"/>
        <filter val="19 224,95"/>
        <filter val="22 313,41"/>
        <filter val="220 986,93"/>
        <filter val="24 000,00"/>
        <filter val="25 423,20"/>
        <filter val="25 874,11"/>
        <filter val="26 450,72"/>
        <filter val="30 807,12"/>
        <filter val="34 375,20"/>
        <filter val="373,53"/>
        <filter val="4 200,00"/>
        <filter val="4 288,95"/>
        <filter val="5 358,94"/>
        <filter val="56 169,36"/>
        <filter val="59 306,57"/>
        <filter val="69 148,23"/>
        <filter val="7 023,77"/>
        <filter val="7 053,52"/>
        <filter val="7 532,53"/>
        <filter val="743 780,30"/>
        <filter val="766 093,71"/>
        <filter val="78 122,66"/>
        <filter val="8 133,61"/>
        <filter val="83 972,77"/>
        <filter val="919 312,45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filterMode="1">
    <pageSetUpPr fitToPage="1"/>
  </sheetPr>
  <dimension ref="A1:G97"/>
  <sheetViews>
    <sheetView view="pageBreakPreview" topLeftCell="A62" zoomScale="70" zoomScaleNormal="100" zoomScaleSheetLayoutView="70" workbookViewId="0">
      <selection activeCell="A24" sqref="A24:B24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269" t="s">
        <v>224</v>
      </c>
      <c r="B1" s="269"/>
    </row>
    <row r="2" spans="1:4" ht="16.5" x14ac:dyDescent="0.25">
      <c r="A2" s="270" t="s">
        <v>225</v>
      </c>
      <c r="B2" s="270"/>
    </row>
    <row r="3" spans="1:4" ht="16.5" x14ac:dyDescent="0.25">
      <c r="A3" s="270" t="s">
        <v>226</v>
      </c>
      <c r="B3" s="270"/>
    </row>
    <row r="4" spans="1:4" x14ac:dyDescent="0.25">
      <c r="A4" s="184" t="s">
        <v>494</v>
      </c>
      <c r="B4" s="184"/>
    </row>
    <row r="5" spans="1:4" x14ac:dyDescent="0.25">
      <c r="A5" s="184" t="s">
        <v>79</v>
      </c>
      <c r="B5" s="184"/>
    </row>
    <row r="6" spans="1:4" ht="5.25" customHeight="1" x14ac:dyDescent="0.25">
      <c r="A6" s="184"/>
      <c r="B6" s="4"/>
      <c r="C6" s="4"/>
    </row>
    <row r="7" spans="1:4" ht="16.5" thickBot="1" x14ac:dyDescent="0.3">
      <c r="A7" s="186"/>
      <c r="B7" s="4"/>
      <c r="C7" s="4"/>
    </row>
    <row r="8" spans="1:4" ht="15.75" customHeight="1" x14ac:dyDescent="0.25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6.5" thickBot="1" x14ac:dyDescent="0.3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-257416.48</v>
      </c>
      <c r="C10" s="226"/>
      <c r="D10" s="226"/>
    </row>
    <row r="11" spans="1:4" s="227" customFormat="1" ht="16.5" hidden="1" thickBot="1" x14ac:dyDescent="0.3">
      <c r="A11" s="228" t="s">
        <v>232</v>
      </c>
      <c r="B11" s="235"/>
      <c r="C11" s="230"/>
      <c r="D11" s="230"/>
    </row>
    <row r="12" spans="1:4" x14ac:dyDescent="0.25">
      <c r="A12" s="231" t="s">
        <v>233</v>
      </c>
      <c r="B12" s="210"/>
      <c r="C12" s="5" t="s">
        <v>234</v>
      </c>
      <c r="D12" s="6" t="s">
        <v>234</v>
      </c>
    </row>
    <row r="13" spans="1:4" hidden="1" x14ac:dyDescent="0.25">
      <c r="A13" s="7" t="s">
        <v>235</v>
      </c>
      <c r="B13" s="8">
        <v>3177</v>
      </c>
      <c r="C13" s="9" t="s">
        <v>234</v>
      </c>
      <c r="D13" s="10" t="s">
        <v>234</v>
      </c>
    </row>
    <row r="14" spans="1:4" hidden="1" x14ac:dyDescent="0.25">
      <c r="A14" s="7" t="s">
        <v>236</v>
      </c>
      <c r="B14" s="8">
        <v>0</v>
      </c>
      <c r="C14" s="9"/>
      <c r="D14" s="10"/>
    </row>
    <row r="15" spans="1:4" hidden="1" x14ac:dyDescent="0.25">
      <c r="A15" s="123" t="s">
        <v>237</v>
      </c>
      <c r="B15" s="11">
        <f>B13+B14</f>
        <v>3177</v>
      </c>
      <c r="C15" s="9"/>
      <c r="D15" s="10"/>
    </row>
    <row r="16" spans="1:4" hidden="1" x14ac:dyDescent="0.25">
      <c r="A16" s="123" t="s">
        <v>238</v>
      </c>
      <c r="B16" s="11">
        <f>916.3+2681.4/3</f>
        <v>1810.1</v>
      </c>
      <c r="C16" s="9" t="s">
        <v>234</v>
      </c>
      <c r="D16" s="10" t="s">
        <v>234</v>
      </c>
    </row>
    <row r="17" spans="1:7" hidden="1" x14ac:dyDescent="0.25">
      <c r="A17" s="7" t="s">
        <v>239</v>
      </c>
      <c r="B17" s="8">
        <v>0</v>
      </c>
      <c r="C17" s="9" t="s">
        <v>234</v>
      </c>
      <c r="D17" s="10" t="s">
        <v>234</v>
      </c>
    </row>
    <row r="18" spans="1:7" hidden="1" x14ac:dyDescent="0.25">
      <c r="A18" s="7" t="s">
        <v>240</v>
      </c>
      <c r="B18" s="8">
        <v>885.7</v>
      </c>
      <c r="C18" s="9" t="s">
        <v>234</v>
      </c>
      <c r="D18" s="10" t="s">
        <v>234</v>
      </c>
    </row>
    <row r="19" spans="1:7" hidden="1" x14ac:dyDescent="0.25">
      <c r="A19" s="7" t="s">
        <v>241</v>
      </c>
      <c r="B19" s="8">
        <v>840</v>
      </c>
      <c r="C19" s="9" t="s">
        <v>234</v>
      </c>
      <c r="D19" s="10" t="s">
        <v>234</v>
      </c>
    </row>
    <row r="20" spans="1:7" hidden="1" x14ac:dyDescent="0.25">
      <c r="A20" s="7" t="s">
        <v>242</v>
      </c>
      <c r="B20" s="8">
        <v>1117</v>
      </c>
      <c r="C20" s="9"/>
      <c r="D20" s="10"/>
    </row>
    <row r="21" spans="1:7" hidden="1" x14ac:dyDescent="0.25">
      <c r="A21" s="7" t="s">
        <v>243</v>
      </c>
      <c r="B21" s="8">
        <v>0</v>
      </c>
      <c r="C21" s="9" t="s">
        <v>234</v>
      </c>
      <c r="D21" s="10" t="s">
        <v>234</v>
      </c>
    </row>
    <row r="22" spans="1:7" hidden="1" x14ac:dyDescent="0.25">
      <c r="A22" s="7" t="s">
        <v>244</v>
      </c>
      <c r="B22" s="8">
        <v>190</v>
      </c>
      <c r="C22" s="9"/>
      <c r="D22" s="10"/>
    </row>
    <row r="23" spans="1:7" x14ac:dyDescent="0.25">
      <c r="A23" s="123"/>
      <c r="B23" s="11"/>
      <c r="C23" s="9"/>
      <c r="D23" s="10"/>
    </row>
    <row r="24" spans="1:7" x14ac:dyDescent="0.25">
      <c r="A24" s="259" t="s">
        <v>317</v>
      </c>
      <c r="B24" s="255">
        <f>VLOOKUP(A5,мкд!W:X,2,FALSE)</f>
        <v>584922.64</v>
      </c>
      <c r="C24" s="9"/>
      <c r="D24" s="10"/>
      <c r="E24" s="194">
        <v>15.48</v>
      </c>
    </row>
    <row r="25" spans="1:7" x14ac:dyDescent="0.25">
      <c r="A25" s="124" t="s">
        <v>318</v>
      </c>
      <c r="B25" s="14">
        <f>VLOOKUP(A5,мкд!W:Y,3,FALSE)</f>
        <v>596335.81000000006</v>
      </c>
      <c r="C25" s="9"/>
      <c r="D25" s="10"/>
    </row>
    <row r="26" spans="1:7" hidden="1" x14ac:dyDescent="0.25">
      <c r="A26" s="124" t="s">
        <v>319</v>
      </c>
      <c r="B26" s="14"/>
      <c r="C26" s="9"/>
      <c r="D26" s="10"/>
    </row>
    <row r="27" spans="1:7" hidden="1" x14ac:dyDescent="0.25">
      <c r="A27" s="124" t="s">
        <v>248</v>
      </c>
      <c r="B27" s="14">
        <f>B26</f>
        <v>0</v>
      </c>
      <c r="C27" s="9"/>
      <c r="D27" s="10"/>
    </row>
    <row r="28" spans="1:7" x14ac:dyDescent="0.25">
      <c r="A28" s="124" t="s">
        <v>391</v>
      </c>
      <c r="B28" s="14">
        <v>9097.23</v>
      </c>
      <c r="C28" s="9"/>
      <c r="D28" s="10"/>
    </row>
    <row r="29" spans="1:7" hidden="1" x14ac:dyDescent="0.25">
      <c r="A29" s="124" t="s">
        <v>250</v>
      </c>
      <c r="B29" s="11"/>
      <c r="C29" s="9"/>
      <c r="D29" s="10"/>
    </row>
    <row r="30" spans="1:7" x14ac:dyDescent="0.25">
      <c r="A30" s="125"/>
      <c r="B30" s="11"/>
      <c r="C30" s="9"/>
      <c r="D30" s="10"/>
    </row>
    <row r="31" spans="1:7" x14ac:dyDescent="0.25">
      <c r="A31" s="232" t="s">
        <v>251</v>
      </c>
      <c r="B31" s="11"/>
      <c r="C31" s="9"/>
      <c r="D31" s="10"/>
    </row>
    <row r="32" spans="1:7" s="18" customFormat="1" ht="31.5" x14ac:dyDescent="0.25">
      <c r="A32" s="126" t="s">
        <v>252</v>
      </c>
      <c r="B32" s="121">
        <f>SUM(B33:B37)</f>
        <v>166985.88</v>
      </c>
      <c r="C32" s="9"/>
      <c r="D32" s="10"/>
      <c r="E32" s="17">
        <f>(B82-B24-B26)/1.2/1.03</f>
        <v>229350.49100873229</v>
      </c>
      <c r="F32" s="17" t="e">
        <f>(#REF!-#REF!-#REF!)/1.2/1.03</f>
        <v>#REF!</v>
      </c>
      <c r="G32" s="17" t="e">
        <f>(#REF!-#REF!-#REF!)/1.2/1.03</f>
        <v>#REF!</v>
      </c>
    </row>
    <row r="33" spans="1:7" x14ac:dyDescent="0.25">
      <c r="A33" s="127" t="s">
        <v>253</v>
      </c>
      <c r="B33" s="11">
        <v>70673.070000000007</v>
      </c>
      <c r="C33" s="9"/>
      <c r="D33" s="10">
        <v>34944.370000000003</v>
      </c>
    </row>
    <row r="34" spans="1:7" x14ac:dyDescent="0.25">
      <c r="A34" s="127" t="s">
        <v>255</v>
      </c>
      <c r="B34" s="11">
        <v>20205.810000000001</v>
      </c>
      <c r="C34" s="9"/>
      <c r="D34" s="10"/>
    </row>
    <row r="35" spans="1:7" x14ac:dyDescent="0.25">
      <c r="A35" s="127" t="s">
        <v>256</v>
      </c>
      <c r="B35" s="11">
        <v>17791.689999999999</v>
      </c>
      <c r="C35" s="9"/>
      <c r="D35" s="10"/>
    </row>
    <row r="36" spans="1:7" x14ac:dyDescent="0.25">
      <c r="A36" s="127" t="s">
        <v>257</v>
      </c>
      <c r="B36" s="11">
        <v>32348.61</v>
      </c>
      <c r="C36" s="9"/>
      <c r="D36" s="10"/>
    </row>
    <row r="37" spans="1:7" ht="15" customHeight="1" x14ac:dyDescent="0.25">
      <c r="A37" s="150" t="s">
        <v>429</v>
      </c>
      <c r="B37" s="160">
        <v>25966.7</v>
      </c>
      <c r="C37" s="9"/>
      <c r="D37" s="10">
        <v>0</v>
      </c>
    </row>
    <row r="38" spans="1:7" s="18" customFormat="1" ht="47.25" x14ac:dyDescent="0.25">
      <c r="A38" s="126" t="s">
        <v>393</v>
      </c>
      <c r="B38" s="121">
        <f>SUM(B39:B41)</f>
        <v>25952.616202240006</v>
      </c>
      <c r="C38" s="9"/>
      <c r="D38" s="10"/>
      <c r="E38" s="17"/>
      <c r="F38" s="17"/>
      <c r="G38" s="17"/>
    </row>
    <row r="39" spans="1:7" hidden="1" x14ac:dyDescent="0.25">
      <c r="A39" s="127" t="s">
        <v>262</v>
      </c>
      <c r="B39" s="11"/>
      <c r="C39" s="23"/>
      <c r="D39" s="24"/>
    </row>
    <row r="40" spans="1:7" hidden="1" x14ac:dyDescent="0.25">
      <c r="A40" s="127" t="s">
        <v>263</v>
      </c>
      <c r="B40" s="11"/>
      <c r="C40" s="23"/>
      <c r="D40" s="24"/>
    </row>
    <row r="41" spans="1:7" x14ac:dyDescent="0.25">
      <c r="A41" s="129" t="s">
        <v>264</v>
      </c>
      <c r="B41" s="11">
        <f>20344*1.04*1.12*1.0952</f>
        <v>25952.616202240006</v>
      </c>
      <c r="C41" s="23"/>
      <c r="D41" s="24"/>
    </row>
    <row r="42" spans="1:7" s="4" customFormat="1" x14ac:dyDescent="0.25">
      <c r="A42" s="15" t="s">
        <v>265</v>
      </c>
      <c r="B42" s="121">
        <f>SUM(B43:B61)</f>
        <v>103051.91</v>
      </c>
      <c r="C42" s="9"/>
      <c r="D42" s="10"/>
    </row>
    <row r="43" spans="1:7" x14ac:dyDescent="0.25">
      <c r="A43" s="19" t="s">
        <v>324</v>
      </c>
      <c r="B43" s="11">
        <v>3720</v>
      </c>
      <c r="C43" s="9"/>
      <c r="D43" s="10"/>
      <c r="E43" s="3" t="s">
        <v>267</v>
      </c>
    </row>
    <row r="44" spans="1:7" x14ac:dyDescent="0.25">
      <c r="A44" s="19" t="s">
        <v>315</v>
      </c>
      <c r="B44" s="11">
        <v>4517.1000000000004</v>
      </c>
      <c r="C44" s="9"/>
      <c r="D44" s="10"/>
      <c r="E44" s="3" t="s">
        <v>269</v>
      </c>
    </row>
    <row r="45" spans="1:7" hidden="1" x14ac:dyDescent="0.25">
      <c r="A45" s="26" t="s">
        <v>270</v>
      </c>
      <c r="B45" s="11">
        <v>0</v>
      </c>
      <c r="C45" s="9"/>
      <c r="D45" s="10"/>
    </row>
    <row r="46" spans="1:7" x14ac:dyDescent="0.25">
      <c r="A46" s="95" t="s">
        <v>394</v>
      </c>
      <c r="B46" s="11">
        <v>36.369999999999997</v>
      </c>
      <c r="C46" s="9"/>
      <c r="D46" s="10"/>
    </row>
    <row r="47" spans="1:7" hidden="1" x14ac:dyDescent="0.25">
      <c r="A47" s="95" t="s">
        <v>346</v>
      </c>
      <c r="B47" s="11"/>
      <c r="C47" s="9"/>
      <c r="D47" s="10"/>
    </row>
    <row r="48" spans="1:7" ht="15.75" customHeight="1" x14ac:dyDescent="0.25">
      <c r="A48" s="26" t="s">
        <v>520</v>
      </c>
      <c r="B48" s="11">
        <v>4200</v>
      </c>
      <c r="C48" s="9"/>
      <c r="D48" s="10">
        <v>105.14</v>
      </c>
    </row>
    <row r="49" spans="1:5" x14ac:dyDescent="0.25">
      <c r="A49" s="26" t="s">
        <v>274</v>
      </c>
      <c r="B49" s="11">
        <v>24000</v>
      </c>
      <c r="C49" s="9">
        <v>1</v>
      </c>
      <c r="D49" s="10">
        <v>522.99</v>
      </c>
    </row>
    <row r="50" spans="1:5" x14ac:dyDescent="0.25">
      <c r="A50" s="26" t="s">
        <v>353</v>
      </c>
      <c r="B50" s="11">
        <v>8133.61</v>
      </c>
      <c r="C50" s="9">
        <v>1</v>
      </c>
      <c r="D50" s="28">
        <v>657.53</v>
      </c>
    </row>
    <row r="51" spans="1:5" x14ac:dyDescent="0.25">
      <c r="A51" s="26" t="s">
        <v>314</v>
      </c>
      <c r="B51" s="11">
        <f>VLOOKUP(A5,'[2]МКД 33'!$AI:$FO,137,FALSE)</f>
        <v>25423.200000000004</v>
      </c>
      <c r="C51" s="9"/>
      <c r="D51" s="28"/>
    </row>
    <row r="52" spans="1:5" hidden="1" x14ac:dyDescent="0.25">
      <c r="A52" s="95" t="s">
        <v>274</v>
      </c>
      <c r="B52" s="11"/>
      <c r="C52" s="9">
        <v>0</v>
      </c>
      <c r="D52" s="10">
        <f>10695.76/1.18</f>
        <v>9064.203389830509</v>
      </c>
    </row>
    <row r="53" spans="1:5" hidden="1" x14ac:dyDescent="0.25">
      <c r="A53" s="131" t="s">
        <v>403</v>
      </c>
      <c r="B53" s="8"/>
      <c r="C53" s="9">
        <v>0</v>
      </c>
      <c r="D53" s="10">
        <f>2300/1.18</f>
        <v>1949.1525423728815</v>
      </c>
    </row>
    <row r="54" spans="1:5" hidden="1" x14ac:dyDescent="0.25">
      <c r="A54" s="95" t="s">
        <v>313</v>
      </c>
      <c r="B54" s="11">
        <v>0</v>
      </c>
      <c r="C54" s="9">
        <v>0</v>
      </c>
      <c r="D54" s="10">
        <v>0</v>
      </c>
    </row>
    <row r="55" spans="1:5" hidden="1" x14ac:dyDescent="0.25">
      <c r="A55" s="95" t="s">
        <v>278</v>
      </c>
      <c r="B55" s="11">
        <f>B13*'[4]32тарифы'!D184</f>
        <v>0</v>
      </c>
      <c r="C55" s="9"/>
      <c r="D55" s="10"/>
      <c r="E55" s="130">
        <f>B76+B42-B55+751.16</f>
        <v>122233.23000000001</v>
      </c>
    </row>
    <row r="56" spans="1:5" hidden="1" x14ac:dyDescent="0.25">
      <c r="A56" s="19" t="s">
        <v>279</v>
      </c>
      <c r="B56" s="70">
        <v>0</v>
      </c>
      <c r="C56" s="9"/>
      <c r="D56" s="10"/>
    </row>
    <row r="57" spans="1:5" hidden="1" x14ac:dyDescent="0.25">
      <c r="A57" s="127" t="s">
        <v>406</v>
      </c>
      <c r="B57" s="11"/>
      <c r="C57" s="9"/>
      <c r="D57" s="10">
        <v>0</v>
      </c>
    </row>
    <row r="58" spans="1:5" hidden="1" x14ac:dyDescent="0.25">
      <c r="A58" s="19" t="s">
        <v>373</v>
      </c>
      <c r="B58" s="11"/>
      <c r="C58" s="9"/>
      <c r="D58" s="10">
        <v>0</v>
      </c>
    </row>
    <row r="59" spans="1:5" x14ac:dyDescent="0.25">
      <c r="A59" s="19" t="s">
        <v>519</v>
      </c>
      <c r="B59" s="132">
        <v>15912</v>
      </c>
      <c r="C59" s="30">
        <v>1</v>
      </c>
      <c r="D59" s="10">
        <v>0</v>
      </c>
    </row>
    <row r="60" spans="1:5" hidden="1" x14ac:dyDescent="0.25">
      <c r="A60" s="19" t="s">
        <v>283</v>
      </c>
      <c r="B60" s="132">
        <v>0</v>
      </c>
      <c r="C60" s="30">
        <v>80</v>
      </c>
      <c r="D60" s="10">
        <v>2</v>
      </c>
      <c r="E60" s="3">
        <v>1</v>
      </c>
    </row>
    <row r="61" spans="1:5" x14ac:dyDescent="0.25">
      <c r="A61" s="71" t="s">
        <v>518</v>
      </c>
      <c r="B61" s="132">
        <v>17109.63</v>
      </c>
      <c r="C61" s="32"/>
      <c r="D61" s="24">
        <v>0</v>
      </c>
    </row>
    <row r="62" spans="1:5" s="4" customFormat="1" x14ac:dyDescent="0.25">
      <c r="A62" s="33" t="s">
        <v>285</v>
      </c>
      <c r="B62" s="121">
        <f>SUM(B63:B70)</f>
        <v>189187.56228627526</v>
      </c>
      <c r="C62" s="23"/>
      <c r="D62" s="24"/>
    </row>
    <row r="63" spans="1:5" hidden="1" x14ac:dyDescent="0.25">
      <c r="A63" s="19" t="s">
        <v>286</v>
      </c>
      <c r="B63" s="11">
        <v>0</v>
      </c>
      <c r="C63" s="23"/>
      <c r="D63" s="24"/>
    </row>
    <row r="64" spans="1:5" x14ac:dyDescent="0.25">
      <c r="A64" s="19" t="s">
        <v>287</v>
      </c>
      <c r="B64" s="11">
        <f>46.2*B16</f>
        <v>83626.62</v>
      </c>
      <c r="C64" s="23"/>
      <c r="D64" s="24"/>
    </row>
    <row r="65" spans="1:4" hidden="1" x14ac:dyDescent="0.25">
      <c r="A65" s="127" t="s">
        <v>288</v>
      </c>
      <c r="B65" s="11">
        <v>0</v>
      </c>
      <c r="C65" s="23"/>
      <c r="D65" s="24"/>
    </row>
    <row r="66" spans="1:4" x14ac:dyDescent="0.25">
      <c r="A66" s="129" t="s">
        <v>289</v>
      </c>
      <c r="B66" s="11">
        <f>1.35*B15</f>
        <v>4288.9500000000007</v>
      </c>
      <c r="C66" s="23"/>
      <c r="D66" s="24"/>
    </row>
    <row r="67" spans="1:4" x14ac:dyDescent="0.25">
      <c r="A67" s="103" t="s">
        <v>290</v>
      </c>
      <c r="B67" s="8">
        <f>5.06*B15</f>
        <v>16075.619999999999</v>
      </c>
      <c r="C67" s="23"/>
      <c r="D67" s="24"/>
    </row>
    <row r="68" spans="1:4" x14ac:dyDescent="0.25">
      <c r="A68" s="25" t="s">
        <v>291</v>
      </c>
      <c r="B68" s="11">
        <f>17.68*B15</f>
        <v>56169.36</v>
      </c>
      <c r="C68" s="23"/>
      <c r="D68" s="24"/>
    </row>
    <row r="69" spans="1:4" x14ac:dyDescent="0.25">
      <c r="A69" s="129" t="s">
        <v>292</v>
      </c>
      <c r="B69" s="11">
        <f>5505*1.04*1.12*1.0952</f>
        <v>7022.6677247999996</v>
      </c>
      <c r="C69" s="23"/>
      <c r="D69" s="24"/>
    </row>
    <row r="70" spans="1:4" x14ac:dyDescent="0.25">
      <c r="A70" s="25" t="s">
        <v>293</v>
      </c>
      <c r="B70" s="11">
        <f>('[4]32тарифы'!D167*B15)+('[4]32тарифы'!D187*B15)*1.12*1.0952</f>
        <v>22004.344561475267</v>
      </c>
      <c r="C70" s="23"/>
      <c r="D70" s="24"/>
    </row>
    <row r="71" spans="1:4" ht="63" x14ac:dyDescent="0.25">
      <c r="A71" s="136" t="s">
        <v>294</v>
      </c>
      <c r="B71" s="241">
        <f>SUM(B72:B72)</f>
        <v>107954.45999999999</v>
      </c>
      <c r="C71" s="23"/>
      <c r="D71" s="24"/>
    </row>
    <row r="72" spans="1:4" x14ac:dyDescent="0.25">
      <c r="A72" s="25" t="s">
        <v>295</v>
      </c>
      <c r="B72" s="11">
        <f>33.98*B15</f>
        <v>107954.45999999999</v>
      </c>
      <c r="C72" s="23"/>
      <c r="D72" s="24"/>
    </row>
    <row r="73" spans="1:4" s="4" customFormat="1" x14ac:dyDescent="0.25">
      <c r="A73" s="133" t="s">
        <v>296</v>
      </c>
      <c r="B73" s="121">
        <f>SUM(B74:B77)</f>
        <v>109456.44439723965</v>
      </c>
      <c r="C73" s="23"/>
      <c r="D73" s="24"/>
    </row>
    <row r="74" spans="1:4" x14ac:dyDescent="0.25">
      <c r="A74" s="137" t="s">
        <v>297</v>
      </c>
      <c r="B74" s="11">
        <f>'[4]32тарифы'!D170*B15*1.12*1.0952</f>
        <v>83972.766257153766</v>
      </c>
      <c r="C74" s="23"/>
      <c r="D74" s="24"/>
    </row>
    <row r="75" spans="1:4" hidden="1" x14ac:dyDescent="0.25">
      <c r="A75" s="137" t="s">
        <v>298</v>
      </c>
      <c r="B75" s="11">
        <f>(B26/1.2)*30%</f>
        <v>0</v>
      </c>
      <c r="C75" s="23"/>
      <c r="D75" s="24"/>
    </row>
    <row r="76" spans="1:4" x14ac:dyDescent="0.25">
      <c r="A76" s="138" t="s">
        <v>299</v>
      </c>
      <c r="B76" s="11">
        <f>7746.32+10683.84</f>
        <v>18430.16</v>
      </c>
      <c r="C76" s="23"/>
      <c r="D76" s="24"/>
    </row>
    <row r="77" spans="1:4" x14ac:dyDescent="0.25">
      <c r="A77" s="138" t="s">
        <v>300</v>
      </c>
      <c r="B77" s="11">
        <f>'[4]32тарифы'!D173*B13*1.12*1.01</f>
        <v>7053.5181400858874</v>
      </c>
      <c r="C77" s="23"/>
      <c r="D77" s="24"/>
    </row>
    <row r="78" spans="1:4" x14ac:dyDescent="0.25">
      <c r="A78" s="233" t="s">
        <v>301</v>
      </c>
      <c r="B78" s="14">
        <f>B32+B38+B42+B62+B71+B73</f>
        <v>702588.87288575503</v>
      </c>
      <c r="C78" s="23"/>
      <c r="D78" s="24"/>
    </row>
    <row r="79" spans="1:4" x14ac:dyDescent="0.25">
      <c r="A79" s="139" t="s">
        <v>302</v>
      </c>
      <c r="B79" s="11">
        <f>B78*0.03</f>
        <v>21077.666186572649</v>
      </c>
      <c r="C79" s="23"/>
      <c r="D79" s="24"/>
    </row>
    <row r="80" spans="1:4" s="18" customFormat="1" x14ac:dyDescent="0.25">
      <c r="A80" s="140" t="s">
        <v>303</v>
      </c>
      <c r="B80" s="121">
        <f>B78+B79</f>
        <v>723666.53907232767</v>
      </c>
      <c r="C80" s="23"/>
      <c r="D80" s="24"/>
    </row>
    <row r="81" spans="1:4" ht="16.5" thickBot="1" x14ac:dyDescent="0.3">
      <c r="A81" s="141" t="s">
        <v>304</v>
      </c>
      <c r="B81" s="142">
        <f>B80*0.2</f>
        <v>144733.30781446554</v>
      </c>
      <c r="C81" s="23"/>
      <c r="D81" s="24"/>
    </row>
    <row r="82" spans="1:4" s="4" customFormat="1" ht="16.5" thickBot="1" x14ac:dyDescent="0.3">
      <c r="A82" s="42" t="s">
        <v>305</v>
      </c>
      <c r="B82" s="242">
        <f>B80+B81</f>
        <v>868399.84688679315</v>
      </c>
      <c r="C82" s="40"/>
      <c r="D82" s="41"/>
    </row>
    <row r="83" spans="1:4" s="4" customFormat="1" ht="16.5" thickBot="1" x14ac:dyDescent="0.3">
      <c r="A83" s="42" t="s">
        <v>306</v>
      </c>
      <c r="B83" s="46">
        <f>B10+B24+B26+B28+B29-B82</f>
        <v>-531796.45688679314</v>
      </c>
      <c r="C83" s="43"/>
      <c r="D83" s="43"/>
    </row>
    <row r="84" spans="1:4" s="4" customFormat="1" ht="16.5" hidden="1" thickBot="1" x14ac:dyDescent="0.3">
      <c r="A84" s="44" t="s">
        <v>307</v>
      </c>
      <c r="B84" s="46"/>
      <c r="C84" s="43"/>
      <c r="D84" s="43"/>
    </row>
    <row r="85" spans="1:4" s="4" customFormat="1" hidden="1" x14ac:dyDescent="0.25">
      <c r="A85" s="243" t="s">
        <v>308</v>
      </c>
      <c r="B85" s="244"/>
      <c r="C85" s="43"/>
      <c r="D85" s="43"/>
    </row>
    <row r="86" spans="1:4" x14ac:dyDescent="0.25">
      <c r="B86" s="130"/>
    </row>
    <row r="87" spans="1:4" ht="10.5" customHeight="1" x14ac:dyDescent="0.25">
      <c r="A87" s="49"/>
    </row>
    <row r="88" spans="1:4" x14ac:dyDescent="0.25">
      <c r="A88" s="294" t="s">
        <v>542</v>
      </c>
      <c r="B88" s="294"/>
    </row>
    <row r="89" spans="1:4" x14ac:dyDescent="0.25">
      <c r="A89" s="49"/>
    </row>
    <row r="90" spans="1:4" hidden="1" x14ac:dyDescent="0.25">
      <c r="A90" s="292" t="s">
        <v>399</v>
      </c>
      <c r="B90" s="292"/>
      <c r="C90" s="51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7" spans="1:1" x14ac:dyDescent="0.25">
      <c r="A97"/>
    </row>
  </sheetData>
  <autoFilter ref="A31:G85" xr:uid="{00000000-0009-0000-0000-00001B000000}">
    <filterColumn colId="1">
      <filters>
        <filter val="103 051,91"/>
        <filter val="107 954,46"/>
        <filter val="109 456,44"/>
        <filter val="144 733,31"/>
        <filter val="15 912,00"/>
        <filter val="16 075,62"/>
        <filter val="166 985,88"/>
        <filter val="17 109,63"/>
        <filter val="17 791,69"/>
        <filter val="18 430,16"/>
        <filter val="189 187,56"/>
        <filter val="20 205,81"/>
        <filter val="21 077,67"/>
        <filter val="22 004,34"/>
        <filter val="24 000,00"/>
        <filter val="25 423,20"/>
        <filter val="25 952,62"/>
        <filter val="25 966,70"/>
        <filter val="3 720,00"/>
        <filter val="32 348,61"/>
        <filter val="36,37"/>
        <filter val="4 200,00"/>
        <filter val="4 288,95"/>
        <filter val="4 517,10"/>
        <filter val="-531 796,46"/>
        <filter val="56 169,36"/>
        <filter val="7 022,67"/>
        <filter val="7 053,52"/>
        <filter val="70 673,07"/>
        <filter val="702 588,87"/>
        <filter val="723 666,54"/>
        <filter val="8 133,61"/>
        <filter val="83 626,62"/>
        <filter val="83 972,77"/>
        <filter val="868 399,85"/>
      </filters>
    </filterColumn>
  </autoFilter>
  <mergeCells count="9">
    <mergeCell ref="D8:D9"/>
    <mergeCell ref="A88:B88"/>
    <mergeCell ref="A90:B90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>
    <pageSetUpPr fitToPage="1"/>
  </sheetPr>
  <dimension ref="A1:G93"/>
  <sheetViews>
    <sheetView view="pageBreakPreview" topLeftCell="A40" zoomScale="70" zoomScaleNormal="100" zoomScaleSheetLayoutView="70" workbookViewId="0">
      <selection activeCell="A24" sqref="A24:B24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269" t="s">
        <v>224</v>
      </c>
      <c r="B1" s="269"/>
    </row>
    <row r="2" spans="1:4" ht="16.5" x14ac:dyDescent="0.25">
      <c r="A2" s="270" t="s">
        <v>225</v>
      </c>
      <c r="B2" s="270"/>
    </row>
    <row r="3" spans="1:4" ht="16.5" x14ac:dyDescent="0.25">
      <c r="A3" s="270" t="s">
        <v>226</v>
      </c>
      <c r="B3" s="270"/>
    </row>
    <row r="4" spans="1:4" x14ac:dyDescent="0.25">
      <c r="A4" s="184" t="s">
        <v>494</v>
      </c>
      <c r="B4" s="184"/>
    </row>
    <row r="5" spans="1:4" x14ac:dyDescent="0.25">
      <c r="A5" s="184" t="s">
        <v>737</v>
      </c>
      <c r="B5" s="184"/>
    </row>
    <row r="6" spans="1:4" ht="5.25" customHeight="1" x14ac:dyDescent="0.25">
      <c r="A6" s="184"/>
      <c r="B6" s="4"/>
      <c r="C6" s="4"/>
    </row>
    <row r="7" spans="1:4" ht="16.5" thickBot="1" x14ac:dyDescent="0.3">
      <c r="A7" s="186"/>
      <c r="B7" s="4"/>
      <c r="C7" s="4"/>
    </row>
    <row r="8" spans="1:4" ht="15.75" customHeight="1" x14ac:dyDescent="0.25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6.5" thickBot="1" x14ac:dyDescent="0.3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-49574.95</v>
      </c>
      <c r="C10" s="226"/>
      <c r="D10" s="226"/>
    </row>
    <row r="11" spans="1:4" s="227" customFormat="1" ht="16.5" hidden="1" thickBot="1" x14ac:dyDescent="0.3">
      <c r="A11" s="228" t="s">
        <v>232</v>
      </c>
      <c r="B11" s="229"/>
      <c r="C11" s="230"/>
      <c r="D11" s="230"/>
    </row>
    <row r="12" spans="1:4" x14ac:dyDescent="0.25">
      <c r="A12" s="231" t="s">
        <v>233</v>
      </c>
      <c r="B12" s="210"/>
      <c r="C12" s="5" t="s">
        <v>234</v>
      </c>
      <c r="D12" s="6" t="s">
        <v>234</v>
      </c>
    </row>
    <row r="13" spans="1:4" hidden="1" x14ac:dyDescent="0.25">
      <c r="A13" s="7" t="s">
        <v>235</v>
      </c>
      <c r="B13" s="8">
        <v>3390.3</v>
      </c>
      <c r="C13" s="9" t="s">
        <v>234</v>
      </c>
      <c r="D13" s="10" t="s">
        <v>234</v>
      </c>
    </row>
    <row r="14" spans="1:4" hidden="1" x14ac:dyDescent="0.25">
      <c r="A14" s="7" t="s">
        <v>236</v>
      </c>
      <c r="B14" s="11">
        <v>0</v>
      </c>
      <c r="C14" s="9"/>
      <c r="D14" s="10"/>
    </row>
    <row r="15" spans="1:4" hidden="1" x14ac:dyDescent="0.25">
      <c r="A15" s="123" t="s">
        <v>237</v>
      </c>
      <c r="B15" s="11">
        <f>B13+B14</f>
        <v>3390.3</v>
      </c>
      <c r="C15" s="9"/>
      <c r="D15" s="10"/>
    </row>
    <row r="16" spans="1:4" hidden="1" x14ac:dyDescent="0.25">
      <c r="A16" s="123" t="s">
        <v>238</v>
      </c>
      <c r="B16" s="11">
        <f>1203.8+1605.7/3</f>
        <v>1739.0333333333333</v>
      </c>
      <c r="C16" s="9" t="s">
        <v>234</v>
      </c>
      <c r="D16" s="10" t="s">
        <v>234</v>
      </c>
    </row>
    <row r="17" spans="1:7" hidden="1" x14ac:dyDescent="0.25">
      <c r="A17" s="7" t="s">
        <v>239</v>
      </c>
      <c r="B17" s="11">
        <v>0</v>
      </c>
      <c r="C17" s="9" t="s">
        <v>234</v>
      </c>
      <c r="D17" s="10" t="s">
        <v>234</v>
      </c>
    </row>
    <row r="18" spans="1:7" hidden="1" x14ac:dyDescent="0.25">
      <c r="A18" s="7" t="s">
        <v>240</v>
      </c>
      <c r="B18" s="8">
        <v>885.7</v>
      </c>
      <c r="C18" s="9" t="s">
        <v>234</v>
      </c>
      <c r="D18" s="10" t="s">
        <v>234</v>
      </c>
    </row>
    <row r="19" spans="1:7" hidden="1" x14ac:dyDescent="0.25">
      <c r="A19" s="7" t="s">
        <v>241</v>
      </c>
      <c r="B19" s="8">
        <v>840</v>
      </c>
      <c r="C19" s="9" t="s">
        <v>234</v>
      </c>
      <c r="D19" s="10" t="s">
        <v>234</v>
      </c>
    </row>
    <row r="20" spans="1:7" hidden="1" x14ac:dyDescent="0.25">
      <c r="A20" s="7" t="s">
        <v>242</v>
      </c>
      <c r="B20" s="8">
        <v>1117</v>
      </c>
      <c r="C20" s="9"/>
      <c r="D20" s="10"/>
    </row>
    <row r="21" spans="1:7" hidden="1" x14ac:dyDescent="0.25">
      <c r="A21" s="7" t="s">
        <v>243</v>
      </c>
      <c r="B21" s="11">
        <v>0</v>
      </c>
      <c r="C21" s="9" t="s">
        <v>234</v>
      </c>
      <c r="D21" s="10" t="s">
        <v>234</v>
      </c>
    </row>
    <row r="22" spans="1:7" hidden="1" x14ac:dyDescent="0.25">
      <c r="A22" s="7" t="s">
        <v>244</v>
      </c>
      <c r="B22" s="11">
        <v>0</v>
      </c>
      <c r="C22" s="9"/>
      <c r="D22" s="10"/>
    </row>
    <row r="23" spans="1:7" x14ac:dyDescent="0.25">
      <c r="A23" s="123"/>
      <c r="B23" s="11"/>
      <c r="C23" s="9"/>
      <c r="D23" s="10"/>
    </row>
    <row r="24" spans="1:7" x14ac:dyDescent="0.25">
      <c r="A24" s="259" t="s">
        <v>317</v>
      </c>
      <c r="B24" s="255">
        <f>VLOOKUP(A5,мкд!W:X,2,FALSE)</f>
        <v>782142.94000000006</v>
      </c>
      <c r="C24" s="9"/>
      <c r="D24" s="10"/>
      <c r="E24" s="194">
        <v>16.96</v>
      </c>
      <c r="F24" s="195">
        <v>18.985023999999999</v>
      </c>
    </row>
    <row r="25" spans="1:7" x14ac:dyDescent="0.25">
      <c r="A25" s="124" t="s">
        <v>318</v>
      </c>
      <c r="B25" s="14">
        <f>VLOOKUP(A5,мкд!W:Y,3,FALSE)</f>
        <v>761986.28</v>
      </c>
      <c r="C25" s="9"/>
      <c r="D25" s="10"/>
    </row>
    <row r="26" spans="1:7" hidden="1" x14ac:dyDescent="0.25">
      <c r="A26" s="124" t="s">
        <v>319</v>
      </c>
      <c r="B26" s="14"/>
      <c r="C26" s="9"/>
      <c r="D26" s="10"/>
    </row>
    <row r="27" spans="1:7" hidden="1" x14ac:dyDescent="0.25">
      <c r="A27" s="124" t="s">
        <v>248</v>
      </c>
      <c r="B27" s="14">
        <f>B26</f>
        <v>0</v>
      </c>
      <c r="C27" s="9"/>
      <c r="D27" s="10"/>
    </row>
    <row r="28" spans="1:7" x14ac:dyDescent="0.25">
      <c r="A28" s="124" t="s">
        <v>391</v>
      </c>
      <c r="B28" s="14">
        <v>7154.31</v>
      </c>
      <c r="C28" s="9"/>
      <c r="D28" s="10"/>
    </row>
    <row r="29" spans="1:7" hidden="1" x14ac:dyDescent="0.25">
      <c r="A29" s="124" t="s">
        <v>250</v>
      </c>
      <c r="B29" s="11"/>
      <c r="C29" s="9"/>
      <c r="D29" s="10"/>
    </row>
    <row r="30" spans="1:7" x14ac:dyDescent="0.25">
      <c r="A30" s="125"/>
      <c r="B30" s="11"/>
      <c r="C30" s="9"/>
      <c r="D30" s="10"/>
    </row>
    <row r="31" spans="1:7" x14ac:dyDescent="0.25">
      <c r="A31" s="232" t="s">
        <v>251</v>
      </c>
      <c r="B31" s="11"/>
      <c r="C31" s="9"/>
      <c r="D31" s="10"/>
    </row>
    <row r="32" spans="1:7" s="18" customFormat="1" ht="31.5" x14ac:dyDescent="0.25">
      <c r="A32" s="126" t="s">
        <v>252</v>
      </c>
      <c r="B32" s="121">
        <f>SUM(B33:B39)</f>
        <v>96689.420000000013</v>
      </c>
      <c r="C32" s="9"/>
      <c r="D32" s="10"/>
      <c r="E32" s="17">
        <f>(B84-B24-B26)/1.2/1.03</f>
        <v>-28841.493130793129</v>
      </c>
      <c r="F32" s="17" t="e">
        <f>(#REF!-#REF!-#REF!)/1.2/1.03</f>
        <v>#REF!</v>
      </c>
      <c r="G32" s="17" t="e">
        <f>(#REF!-#REF!-#REF!)/1.2/1.03</f>
        <v>#REF!</v>
      </c>
    </row>
    <row r="33" spans="1:7" x14ac:dyDescent="0.25">
      <c r="A33" s="127" t="s">
        <v>253</v>
      </c>
      <c r="B33" s="11">
        <v>73094.540000000008</v>
      </c>
      <c r="C33" s="9"/>
      <c r="D33" s="10">
        <v>34944.370000000003</v>
      </c>
    </row>
    <row r="34" spans="1:7" ht="16.5" hidden="1" x14ac:dyDescent="0.25">
      <c r="A34" s="146" t="s">
        <v>429</v>
      </c>
      <c r="B34" s="11"/>
      <c r="C34" s="9"/>
      <c r="D34" s="10">
        <v>0</v>
      </c>
    </row>
    <row r="35" spans="1:7" ht="16.5" hidden="1" x14ac:dyDescent="0.25">
      <c r="A35" s="146" t="s">
        <v>435</v>
      </c>
      <c r="B35" s="145"/>
      <c r="C35" s="9" t="s">
        <v>234</v>
      </c>
      <c r="D35" s="10">
        <v>0</v>
      </c>
    </row>
    <row r="36" spans="1:7" ht="20.45" customHeight="1" x14ac:dyDescent="0.25">
      <c r="A36" s="127" t="s">
        <v>255</v>
      </c>
      <c r="B36" s="11">
        <v>23594.880000000001</v>
      </c>
      <c r="C36" s="9"/>
      <c r="D36" s="10">
        <v>0</v>
      </c>
    </row>
    <row r="37" spans="1:7" hidden="1" x14ac:dyDescent="0.25">
      <c r="A37" s="127" t="s">
        <v>335</v>
      </c>
      <c r="B37" s="11"/>
      <c r="C37" s="9"/>
      <c r="D37" s="10">
        <v>0</v>
      </c>
    </row>
    <row r="38" spans="1:7" hidden="1" x14ac:dyDescent="0.25">
      <c r="A38" s="127" t="s">
        <v>441</v>
      </c>
      <c r="B38" s="11"/>
      <c r="C38" s="9"/>
      <c r="D38" s="10"/>
    </row>
    <row r="39" spans="1:7" hidden="1" x14ac:dyDescent="0.25">
      <c r="A39" s="19" t="s">
        <v>339</v>
      </c>
      <c r="B39" s="8"/>
      <c r="C39" s="9"/>
      <c r="D39" s="10"/>
    </row>
    <row r="40" spans="1:7" s="18" customFormat="1" ht="47.25" x14ac:dyDescent="0.25">
      <c r="A40" s="15" t="s">
        <v>393</v>
      </c>
      <c r="B40" s="121">
        <f>SUM(B41:B43)</f>
        <v>19093.638577324848</v>
      </c>
      <c r="C40" s="9"/>
      <c r="D40" s="10"/>
      <c r="E40" s="17"/>
      <c r="F40" s="17"/>
      <c r="G40" s="17"/>
    </row>
    <row r="41" spans="1:7" hidden="1" x14ac:dyDescent="0.25">
      <c r="A41" s="19" t="s">
        <v>262</v>
      </c>
      <c r="B41" s="11"/>
      <c r="C41" s="23"/>
      <c r="D41" s="24"/>
    </row>
    <row r="42" spans="1:7" hidden="1" x14ac:dyDescent="0.25">
      <c r="A42" s="127" t="s">
        <v>263</v>
      </c>
      <c r="B42" s="11"/>
      <c r="C42" s="23"/>
      <c r="D42" s="24"/>
    </row>
    <row r="43" spans="1:7" x14ac:dyDescent="0.25">
      <c r="A43" s="25" t="s">
        <v>264</v>
      </c>
      <c r="B43" s="11">
        <f>'[4]32тарифы'!D163*B15+210.52+800*1.12</f>
        <v>19093.638577324848</v>
      </c>
      <c r="C43" s="23"/>
      <c r="D43" s="24"/>
      <c r="E43" s="3" t="s">
        <v>442</v>
      </c>
    </row>
    <row r="44" spans="1:7" s="4" customFormat="1" x14ac:dyDescent="0.25">
      <c r="A44" s="15" t="s">
        <v>265</v>
      </c>
      <c r="B44" s="121">
        <f>SUM(B45:B63)</f>
        <v>95740.51999999999</v>
      </c>
      <c r="C44" s="9"/>
      <c r="D44" s="10"/>
    </row>
    <row r="45" spans="1:7" x14ac:dyDescent="0.25">
      <c r="A45" s="127" t="s">
        <v>324</v>
      </c>
      <c r="B45" s="11">
        <v>3609.12</v>
      </c>
      <c r="C45" s="9"/>
      <c r="D45" s="10"/>
      <c r="E45" s="3" t="s">
        <v>267</v>
      </c>
    </row>
    <row r="46" spans="1:7" x14ac:dyDescent="0.25">
      <c r="A46" s="127" t="s">
        <v>315</v>
      </c>
      <c r="B46" s="11">
        <v>4382.46</v>
      </c>
      <c r="C46" s="9"/>
      <c r="D46" s="10"/>
      <c r="E46" s="3" t="s">
        <v>269</v>
      </c>
    </row>
    <row r="47" spans="1:7" hidden="1" x14ac:dyDescent="0.25">
      <c r="A47" s="26" t="s">
        <v>270</v>
      </c>
      <c r="B47" s="11">
        <v>0</v>
      </c>
      <c r="C47" s="9"/>
      <c r="D47" s="10"/>
    </row>
    <row r="48" spans="1:7" hidden="1" x14ac:dyDescent="0.25">
      <c r="A48" s="26" t="s">
        <v>271</v>
      </c>
      <c r="B48" s="11">
        <v>0</v>
      </c>
      <c r="C48" s="9"/>
      <c r="D48" s="10"/>
    </row>
    <row r="49" spans="1:5" hidden="1" x14ac:dyDescent="0.25">
      <c r="A49" s="95" t="s">
        <v>403</v>
      </c>
      <c r="B49" s="11"/>
      <c r="C49" s="9"/>
      <c r="D49" s="10"/>
    </row>
    <row r="50" spans="1:5" hidden="1" x14ac:dyDescent="0.25">
      <c r="A50" s="95" t="s">
        <v>360</v>
      </c>
      <c r="B50" s="8"/>
      <c r="C50" s="9"/>
      <c r="D50" s="10">
        <v>105.14</v>
      </c>
    </row>
    <row r="51" spans="1:5" hidden="1" x14ac:dyDescent="0.25">
      <c r="A51" s="95" t="s">
        <v>346</v>
      </c>
      <c r="B51" s="11"/>
      <c r="C51" s="9">
        <v>1</v>
      </c>
      <c r="D51" s="10">
        <v>522.99</v>
      </c>
    </row>
    <row r="52" spans="1:5" x14ac:dyDescent="0.25">
      <c r="A52" s="95" t="s">
        <v>353</v>
      </c>
      <c r="B52" s="11">
        <v>8133.61</v>
      </c>
      <c r="C52" s="9">
        <v>1</v>
      </c>
      <c r="D52" s="28">
        <v>657.53</v>
      </c>
    </row>
    <row r="53" spans="1:5" hidden="1" x14ac:dyDescent="0.25">
      <c r="A53" s="95" t="s">
        <v>342</v>
      </c>
      <c r="B53" s="8"/>
      <c r="C53" s="9"/>
      <c r="D53" s="28"/>
    </row>
    <row r="54" spans="1:5" hidden="1" x14ac:dyDescent="0.25">
      <c r="A54" s="26" t="s">
        <v>359</v>
      </c>
      <c r="B54" s="8"/>
      <c r="C54" s="9">
        <v>0</v>
      </c>
      <c r="D54" s="10">
        <f>10695.76/1.18</f>
        <v>9064.203389830509</v>
      </c>
      <c r="E54" s="130">
        <f>B78+B44-B57+666.66</f>
        <v>119329.45</v>
      </c>
    </row>
    <row r="55" spans="1:5" x14ac:dyDescent="0.25">
      <c r="A55" s="95" t="s">
        <v>439</v>
      </c>
      <c r="B55" s="11">
        <f>VLOOKUP(A5,'[2]МКД 33'!$AI:$FO,137,FALSE)</f>
        <v>31779</v>
      </c>
      <c r="C55" s="9">
        <v>0</v>
      </c>
      <c r="D55" s="10">
        <f>2300/1.18</f>
        <v>1949.1525423728815</v>
      </c>
    </row>
    <row r="56" spans="1:5" hidden="1" x14ac:dyDescent="0.25">
      <c r="A56" s="95" t="s">
        <v>345</v>
      </c>
      <c r="B56" s="11">
        <v>0</v>
      </c>
      <c r="C56" s="9">
        <v>0</v>
      </c>
      <c r="D56" s="10">
        <v>0</v>
      </c>
    </row>
    <row r="57" spans="1:5" hidden="1" x14ac:dyDescent="0.25">
      <c r="A57" s="95" t="s">
        <v>278</v>
      </c>
      <c r="B57" s="11">
        <f>B13*'[4]32тарифы'!D184</f>
        <v>0</v>
      </c>
      <c r="C57" s="9"/>
      <c r="D57" s="10"/>
    </row>
    <row r="58" spans="1:5" hidden="1" x14ac:dyDescent="0.25">
      <c r="A58" s="19" t="s">
        <v>279</v>
      </c>
      <c r="B58" s="70">
        <v>0</v>
      </c>
      <c r="C58" s="9"/>
      <c r="D58" s="10"/>
    </row>
    <row r="59" spans="1:5" hidden="1" x14ac:dyDescent="0.25">
      <c r="A59" s="19" t="s">
        <v>280</v>
      </c>
      <c r="B59" s="70">
        <v>0</v>
      </c>
      <c r="C59" s="9"/>
      <c r="D59" s="10">
        <v>0</v>
      </c>
    </row>
    <row r="60" spans="1:5" ht="15.75" customHeight="1" x14ac:dyDescent="0.25">
      <c r="A60" s="19" t="s">
        <v>520</v>
      </c>
      <c r="B60" s="11">
        <v>4200</v>
      </c>
      <c r="C60" s="9"/>
      <c r="D60" s="10">
        <v>0</v>
      </c>
    </row>
    <row r="61" spans="1:5" x14ac:dyDescent="0.25">
      <c r="A61" s="110" t="s">
        <v>325</v>
      </c>
      <c r="B61" s="77">
        <v>30082.71</v>
      </c>
      <c r="C61" s="30">
        <v>1</v>
      </c>
      <c r="D61" s="10">
        <v>0</v>
      </c>
    </row>
    <row r="62" spans="1:5" x14ac:dyDescent="0.25">
      <c r="A62" s="127" t="s">
        <v>281</v>
      </c>
      <c r="B62" s="132">
        <v>32.33</v>
      </c>
      <c r="C62" s="30">
        <v>80</v>
      </c>
      <c r="D62" s="10">
        <v>2</v>
      </c>
      <c r="E62" s="3">
        <v>1</v>
      </c>
    </row>
    <row r="63" spans="1:5" ht="16.5" x14ac:dyDescent="0.25">
      <c r="A63" s="146" t="s">
        <v>518</v>
      </c>
      <c r="B63" s="132">
        <v>13521.29</v>
      </c>
      <c r="C63" s="32"/>
      <c r="D63" s="24">
        <v>0</v>
      </c>
    </row>
    <row r="64" spans="1:5" s="4" customFormat="1" x14ac:dyDescent="0.25">
      <c r="A64" s="33" t="s">
        <v>285</v>
      </c>
      <c r="B64" s="121">
        <f>SUM(B65:B72)</f>
        <v>189553.54179783951</v>
      </c>
      <c r="C64" s="23"/>
      <c r="D64" s="24"/>
    </row>
    <row r="65" spans="1:4" hidden="1" x14ac:dyDescent="0.25">
      <c r="A65" s="19" t="s">
        <v>286</v>
      </c>
      <c r="B65" s="11">
        <v>0</v>
      </c>
      <c r="C65" s="23"/>
      <c r="D65" s="24"/>
    </row>
    <row r="66" spans="1:4" x14ac:dyDescent="0.25">
      <c r="A66" s="127" t="s">
        <v>287</v>
      </c>
      <c r="B66" s="11">
        <f>46.2*B16</f>
        <v>80343.34</v>
      </c>
      <c r="C66" s="23"/>
      <c r="D66" s="24"/>
    </row>
    <row r="67" spans="1:4" hidden="1" x14ac:dyDescent="0.25">
      <c r="A67" s="19" t="s">
        <v>288</v>
      </c>
      <c r="B67" s="11">
        <v>0</v>
      </c>
      <c r="C67" s="23"/>
      <c r="D67" s="24"/>
    </row>
    <row r="68" spans="1:4" x14ac:dyDescent="0.25">
      <c r="A68" s="129" t="s">
        <v>289</v>
      </c>
      <c r="B68" s="135">
        <f>1.35*B15</f>
        <v>4576.9050000000007</v>
      </c>
      <c r="C68" s="23"/>
      <c r="D68" s="24"/>
    </row>
    <row r="69" spans="1:4" x14ac:dyDescent="0.25">
      <c r="A69" s="103" t="s">
        <v>290</v>
      </c>
      <c r="B69" s="8">
        <f>5.06*B15</f>
        <v>17154.917999999998</v>
      </c>
      <c r="C69" s="23"/>
      <c r="D69" s="24"/>
    </row>
    <row r="70" spans="1:4" x14ac:dyDescent="0.25">
      <c r="A70" s="129" t="s">
        <v>291</v>
      </c>
      <c r="B70" s="11">
        <f>17.68*B15</f>
        <v>59940.504000000001</v>
      </c>
      <c r="C70" s="23"/>
      <c r="D70" s="24"/>
    </row>
    <row r="71" spans="1:4" x14ac:dyDescent="0.25">
      <c r="A71" s="129" t="s">
        <v>292</v>
      </c>
      <c r="B71" s="11">
        <f>3917*1.04*1.12*1.0952</f>
        <v>4996.8736563200009</v>
      </c>
      <c r="C71" s="23"/>
      <c r="D71" s="24"/>
    </row>
    <row r="72" spans="1:4" x14ac:dyDescent="0.25">
      <c r="A72" s="129" t="s">
        <v>293</v>
      </c>
      <c r="B72" s="11">
        <f>('[4]32тарифы'!D167*B15)+('[4]32тарифы'!D187*B15)/12*8*1.12*1.0952</f>
        <v>22541.001141519497</v>
      </c>
      <c r="C72" s="23"/>
      <c r="D72" s="24"/>
    </row>
    <row r="73" spans="1:4" ht="63" x14ac:dyDescent="0.25">
      <c r="A73" s="136" t="s">
        <v>294</v>
      </c>
      <c r="B73" s="121">
        <f>SUM(B74:B74)</f>
        <v>115202.394</v>
      </c>
      <c r="C73" s="23"/>
      <c r="D73" s="24"/>
    </row>
    <row r="74" spans="1:4" x14ac:dyDescent="0.25">
      <c r="A74" s="129" t="s">
        <v>295</v>
      </c>
      <c r="B74" s="11">
        <f>33.98*B15</f>
        <v>115202.394</v>
      </c>
      <c r="C74" s="23"/>
      <c r="D74" s="24"/>
    </row>
    <row r="75" spans="1:4" s="4" customFormat="1" x14ac:dyDescent="0.25">
      <c r="A75" s="133" t="s">
        <v>296</v>
      </c>
      <c r="B75" s="121">
        <f>SUM(B76:B79)</f>
        <v>87680.723885628293</v>
      </c>
      <c r="C75" s="23"/>
      <c r="D75" s="24"/>
    </row>
    <row r="76" spans="1:4" x14ac:dyDescent="0.25">
      <c r="A76" s="137" t="s">
        <v>297</v>
      </c>
      <c r="B76" s="11">
        <f>'[4]32тарифы'!D170*B15/12*8*1.12*1.0952</f>
        <v>59740.398581812697</v>
      </c>
      <c r="C76" s="23"/>
      <c r="D76" s="24"/>
    </row>
    <row r="77" spans="1:4" hidden="1" x14ac:dyDescent="0.25">
      <c r="A77" s="137" t="s">
        <v>298</v>
      </c>
      <c r="B77" s="11">
        <f>(B26/1.2)*30%</f>
        <v>0</v>
      </c>
      <c r="C77" s="23"/>
      <c r="D77" s="24"/>
    </row>
    <row r="78" spans="1:4" x14ac:dyDescent="0.25">
      <c r="A78" s="138" t="s">
        <v>299</v>
      </c>
      <c r="B78" s="11">
        <f>13488.1+9434.17</f>
        <v>22922.27</v>
      </c>
      <c r="C78" s="23"/>
      <c r="D78" s="24"/>
    </row>
    <row r="79" spans="1:4" x14ac:dyDescent="0.25">
      <c r="A79" s="138" t="s">
        <v>300</v>
      </c>
      <c r="B79" s="135">
        <f>'[4]32тарифы'!D173*B13/12*8*1.12*1.01</f>
        <v>5018.0553038155886</v>
      </c>
      <c r="C79" s="23"/>
      <c r="D79" s="24"/>
    </row>
    <row r="80" spans="1:4" x14ac:dyDescent="0.25">
      <c r="A80" s="233" t="s">
        <v>301</v>
      </c>
      <c r="B80" s="14">
        <f>B32+B40+B44+B64+B73+B75</f>
        <v>603960.23826079268</v>
      </c>
      <c r="C80" s="23"/>
      <c r="D80" s="24"/>
    </row>
    <row r="81" spans="1:4" x14ac:dyDescent="0.25">
      <c r="A81" s="139" t="s">
        <v>302</v>
      </c>
      <c r="B81" s="11">
        <f>B80*0.03</f>
        <v>18118.80714782378</v>
      </c>
      <c r="C81" s="23"/>
      <c r="D81" s="24"/>
    </row>
    <row r="82" spans="1:4" s="18" customFormat="1" x14ac:dyDescent="0.25">
      <c r="A82" s="140" t="s">
        <v>303</v>
      </c>
      <c r="B82" s="121">
        <f>B80+B81</f>
        <v>622079.04540861642</v>
      </c>
      <c r="C82" s="23"/>
      <c r="D82" s="24"/>
    </row>
    <row r="83" spans="1:4" ht="16.5" thickBot="1" x14ac:dyDescent="0.3">
      <c r="A83" s="141" t="s">
        <v>304</v>
      </c>
      <c r="B83" s="142">
        <f>B82*0.2</f>
        <v>124415.80908172329</v>
      </c>
      <c r="C83" s="23"/>
      <c r="D83" s="24"/>
    </row>
    <row r="84" spans="1:4" s="4" customFormat="1" ht="16.5" thickBot="1" x14ac:dyDescent="0.3">
      <c r="A84" s="42" t="s">
        <v>305</v>
      </c>
      <c r="B84" s="46">
        <f>B82+B83</f>
        <v>746494.85449033976</v>
      </c>
      <c r="C84" s="40"/>
      <c r="D84" s="41"/>
    </row>
    <row r="85" spans="1:4" s="4" customFormat="1" ht="16.5" thickBot="1" x14ac:dyDescent="0.3">
      <c r="A85" s="42" t="s">
        <v>306</v>
      </c>
      <c r="B85" s="46">
        <f>B10+B24+B26+B28+B29-B84</f>
        <v>-6772.554490339593</v>
      </c>
      <c r="C85" s="43"/>
      <c r="D85" s="43"/>
    </row>
    <row r="86" spans="1:4" s="4" customFormat="1" ht="16.5" hidden="1" thickBot="1" x14ac:dyDescent="0.3">
      <c r="A86" s="44" t="s">
        <v>307</v>
      </c>
      <c r="B86" s="46"/>
      <c r="C86" s="43"/>
      <c r="D86" s="43"/>
    </row>
    <row r="87" spans="1:4" s="4" customFormat="1" ht="16.5" hidden="1" thickBot="1" x14ac:dyDescent="0.3">
      <c r="A87" s="143" t="s">
        <v>308</v>
      </c>
      <c r="B87" s="46"/>
      <c r="C87" s="43"/>
      <c r="D87" s="43"/>
    </row>
    <row r="88" spans="1:4" x14ac:dyDescent="0.25">
      <c r="B88" s="130"/>
    </row>
    <row r="89" spans="1:4" ht="10.5" customHeight="1" x14ac:dyDescent="0.25">
      <c r="A89" s="49"/>
    </row>
    <row r="90" spans="1:4" x14ac:dyDescent="0.25">
      <c r="A90" s="286" t="s">
        <v>542</v>
      </c>
      <c r="B90" s="286"/>
    </row>
    <row r="91" spans="1:4" x14ac:dyDescent="0.25">
      <c r="A91" s="49"/>
    </row>
    <row r="92" spans="1:4" hidden="1" x14ac:dyDescent="0.25">
      <c r="A92" s="292" t="s">
        <v>399</v>
      </c>
      <c r="B92" s="292"/>
      <c r="C92" s="51"/>
    </row>
    <row r="93" spans="1:4" x14ac:dyDescent="0.25">
      <c r="A93"/>
      <c r="B93"/>
      <c r="C93"/>
      <c r="D93"/>
    </row>
  </sheetData>
  <autoFilter ref="A31:G87" xr:uid="{00000000-0009-0000-0000-00001C000000}">
    <filterColumn colId="1">
      <filters>
        <filter val="115 202,39"/>
        <filter val="124 415,81"/>
        <filter val="13 521,29"/>
        <filter val="17 154,92"/>
        <filter val="18 118,81"/>
        <filter val="189 553,54"/>
        <filter val="19 093,64"/>
        <filter val="22 541,00"/>
        <filter val="22 922,27"/>
        <filter val="23 594,88"/>
        <filter val="3 609,12"/>
        <filter val="30 082,71"/>
        <filter val="31 779,00"/>
        <filter val="32,33"/>
        <filter val="4 200,00"/>
        <filter val="4 382,46"/>
        <filter val="4 576,91"/>
        <filter val="4 996,87"/>
        <filter val="5 018,06"/>
        <filter val="59 740,40"/>
        <filter val="59 940,50"/>
        <filter val="-6 772,55"/>
        <filter val="603 960,24"/>
        <filter val="622 079,05"/>
        <filter val="73 094,54"/>
        <filter val="746 494,85"/>
        <filter val="8 133,61"/>
        <filter val="80 343,34"/>
        <filter val="87 680,72"/>
        <filter val="95 740,52"/>
        <filter val="96 689,42"/>
      </filters>
    </filterColumn>
  </autoFilter>
  <mergeCells count="9">
    <mergeCell ref="D8:D9"/>
    <mergeCell ref="A90:B90"/>
    <mergeCell ref="A92:B92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G94"/>
  <sheetViews>
    <sheetView view="pageBreakPreview" topLeftCell="A25" zoomScale="80" zoomScaleNormal="100" zoomScaleSheetLayoutView="80" workbookViewId="0">
      <selection activeCell="A37" sqref="A37"/>
    </sheetView>
  </sheetViews>
  <sheetFormatPr defaultRowHeight="15.75" x14ac:dyDescent="0.25"/>
  <cols>
    <col min="1" max="1" width="91.5703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269" t="s">
        <v>224</v>
      </c>
      <c r="B1" s="269"/>
    </row>
    <row r="2" spans="1:4" ht="16.5" x14ac:dyDescent="0.25">
      <c r="A2" s="270" t="s">
        <v>225</v>
      </c>
      <c r="B2" s="270"/>
    </row>
    <row r="3" spans="1:4" ht="16.5" x14ac:dyDescent="0.25">
      <c r="A3" s="270" t="s">
        <v>226</v>
      </c>
      <c r="B3" s="270"/>
    </row>
    <row r="4" spans="1:4" x14ac:dyDescent="0.25">
      <c r="A4" s="184" t="s">
        <v>494</v>
      </c>
      <c r="B4" s="184"/>
    </row>
    <row r="5" spans="1:4" x14ac:dyDescent="0.25">
      <c r="A5" s="263" t="s">
        <v>2</v>
      </c>
      <c r="B5" s="264"/>
    </row>
    <row r="6" spans="1:4" ht="19.5" customHeight="1" x14ac:dyDescent="0.25">
      <c r="A6" s="184"/>
      <c r="B6" s="4"/>
      <c r="C6" s="4"/>
    </row>
    <row r="7" spans="1:4" ht="16.5" thickBot="1" x14ac:dyDescent="0.3">
      <c r="A7" s="186"/>
      <c r="B7" s="4"/>
      <c r="C7" s="4"/>
    </row>
    <row r="8" spans="1:4" ht="15.75" customHeight="1" x14ac:dyDescent="0.25">
      <c r="A8" s="271" t="s">
        <v>227</v>
      </c>
      <c r="B8" s="273" t="s">
        <v>228</v>
      </c>
      <c r="C8" s="265" t="s">
        <v>229</v>
      </c>
      <c r="D8" s="265" t="s">
        <v>230</v>
      </c>
    </row>
    <row r="9" spans="1:4" ht="16.5" thickBot="1" x14ac:dyDescent="0.3">
      <c r="A9" s="272"/>
      <c r="B9" s="274"/>
      <c r="C9" s="266"/>
      <c r="D9" s="266"/>
    </row>
    <row r="10" spans="1:4" ht="16.5" thickBot="1" x14ac:dyDescent="0.3">
      <c r="A10" s="187" t="s">
        <v>231</v>
      </c>
      <c r="B10" s="188">
        <f>VLOOKUP(A5,мкд!S:T,2,FALSE)</f>
        <v>-44045.2</v>
      </c>
      <c r="C10" s="189"/>
      <c r="D10" s="189"/>
    </row>
    <row r="11" spans="1:4" ht="16.5" hidden="1" thickBot="1" x14ac:dyDescent="0.3">
      <c r="A11" s="190" t="s">
        <v>232</v>
      </c>
      <c r="B11" s="188"/>
      <c r="C11" s="191"/>
      <c r="D11" s="191"/>
    </row>
    <row r="12" spans="1:4" x14ac:dyDescent="0.25">
      <c r="A12" s="192" t="s">
        <v>233</v>
      </c>
      <c r="B12" s="193"/>
      <c r="C12" s="5" t="s">
        <v>234</v>
      </c>
      <c r="D12" s="6" t="s">
        <v>234</v>
      </c>
    </row>
    <row r="13" spans="1:4" hidden="1" x14ac:dyDescent="0.25">
      <c r="A13" s="7" t="s">
        <v>235</v>
      </c>
      <c r="B13" s="8">
        <v>1137.9000000000001</v>
      </c>
      <c r="C13" s="9" t="s">
        <v>234</v>
      </c>
      <c r="D13" s="10" t="s">
        <v>234</v>
      </c>
    </row>
    <row r="14" spans="1:4" hidden="1" x14ac:dyDescent="0.25">
      <c r="A14" s="7" t="s">
        <v>236</v>
      </c>
      <c r="B14" s="8">
        <v>0</v>
      </c>
      <c r="C14" s="9"/>
      <c r="D14" s="10"/>
    </row>
    <row r="15" spans="1:4" hidden="1" x14ac:dyDescent="0.25">
      <c r="A15" s="7" t="s">
        <v>237</v>
      </c>
      <c r="B15" s="8">
        <f>B13+B14</f>
        <v>1137.9000000000001</v>
      </c>
      <c r="C15" s="9"/>
      <c r="D15" s="10"/>
    </row>
    <row r="16" spans="1:4" hidden="1" x14ac:dyDescent="0.25">
      <c r="A16" s="7" t="s">
        <v>238</v>
      </c>
      <c r="B16" s="8">
        <f>1343.9+685.7/3</f>
        <v>1572.4666666666667</v>
      </c>
      <c r="C16" s="9" t="s">
        <v>234</v>
      </c>
      <c r="D16" s="10" t="s">
        <v>234</v>
      </c>
    </row>
    <row r="17" spans="1:7" hidden="1" x14ac:dyDescent="0.25">
      <c r="A17" s="7" t="s">
        <v>239</v>
      </c>
      <c r="B17" s="11">
        <v>0</v>
      </c>
      <c r="C17" s="9" t="s">
        <v>234</v>
      </c>
      <c r="D17" s="10" t="s">
        <v>234</v>
      </c>
    </row>
    <row r="18" spans="1:7" hidden="1" x14ac:dyDescent="0.25">
      <c r="A18" s="7" t="s">
        <v>240</v>
      </c>
      <c r="B18" s="11">
        <v>24.4</v>
      </c>
      <c r="C18" s="9" t="s">
        <v>234</v>
      </c>
      <c r="D18" s="10" t="s">
        <v>234</v>
      </c>
    </row>
    <row r="19" spans="1:7" hidden="1" x14ac:dyDescent="0.25">
      <c r="A19" s="7" t="s">
        <v>241</v>
      </c>
      <c r="B19" s="11">
        <v>0</v>
      </c>
      <c r="C19" s="9" t="s">
        <v>234</v>
      </c>
      <c r="D19" s="10" t="s">
        <v>234</v>
      </c>
    </row>
    <row r="20" spans="1:7" hidden="1" x14ac:dyDescent="0.25">
      <c r="A20" s="7" t="s">
        <v>242</v>
      </c>
      <c r="B20" s="11">
        <v>665.7</v>
      </c>
      <c r="C20" s="9"/>
      <c r="D20" s="10"/>
    </row>
    <row r="21" spans="1:7" hidden="1" x14ac:dyDescent="0.25">
      <c r="A21" s="7" t="s">
        <v>243</v>
      </c>
      <c r="B21" s="11">
        <v>0</v>
      </c>
      <c r="C21" s="9" t="s">
        <v>234</v>
      </c>
      <c r="D21" s="10" t="s">
        <v>234</v>
      </c>
    </row>
    <row r="22" spans="1:7" hidden="1" x14ac:dyDescent="0.25">
      <c r="A22" s="7" t="s">
        <v>244</v>
      </c>
      <c r="B22" s="11">
        <v>56</v>
      </c>
      <c r="C22" s="9"/>
      <c r="D22" s="10"/>
    </row>
    <row r="23" spans="1:7" x14ac:dyDescent="0.25">
      <c r="A23" s="7"/>
      <c r="B23" s="11"/>
      <c r="C23" s="9"/>
      <c r="D23" s="10"/>
      <c r="E23" s="3">
        <v>10</v>
      </c>
      <c r="F23" s="3">
        <v>2</v>
      </c>
    </row>
    <row r="24" spans="1:7" x14ac:dyDescent="0.25">
      <c r="A24" s="257" t="s">
        <v>245</v>
      </c>
      <c r="B24" s="255">
        <f>VLOOKUP(A5,мкд!W:X,2,FALSE)</f>
        <v>298448.82</v>
      </c>
      <c r="C24" s="9"/>
      <c r="D24" s="10"/>
      <c r="E24" s="194">
        <v>21.59</v>
      </c>
      <c r="F24" s="195">
        <v>23.19</v>
      </c>
    </row>
    <row r="25" spans="1:7" x14ac:dyDescent="0.25">
      <c r="A25" s="12" t="s">
        <v>246</v>
      </c>
      <c r="B25" s="14">
        <f>VLOOKUP(A5,мкд!W:Y,3,FALSE)</f>
        <v>285632.84999999998</v>
      </c>
      <c r="C25" s="9"/>
      <c r="D25" s="10"/>
      <c r="E25" s="3">
        <f>E24*E23*B15+F24*F23*B15</f>
        <v>298448.41200000001</v>
      </c>
    </row>
    <row r="26" spans="1:7" hidden="1" x14ac:dyDescent="0.25">
      <c r="A26" s="12" t="s">
        <v>247</v>
      </c>
      <c r="B26" s="13"/>
      <c r="C26" s="9"/>
      <c r="D26" s="10"/>
    </row>
    <row r="27" spans="1:7" hidden="1" x14ac:dyDescent="0.25">
      <c r="A27" s="12" t="s">
        <v>248</v>
      </c>
      <c r="B27" s="14">
        <f>B26</f>
        <v>0</v>
      </c>
      <c r="C27" s="9"/>
      <c r="D27" s="10"/>
    </row>
    <row r="28" spans="1:7" x14ac:dyDescent="0.25">
      <c r="A28" s="12" t="s">
        <v>249</v>
      </c>
      <c r="B28" s="14">
        <v>1510.2</v>
      </c>
      <c r="C28" s="9"/>
      <c r="D28" s="10"/>
    </row>
    <row r="29" spans="1:7" hidden="1" x14ac:dyDescent="0.25">
      <c r="A29" s="12" t="s">
        <v>250</v>
      </c>
      <c r="B29" s="11"/>
      <c r="C29" s="9"/>
      <c r="D29" s="10"/>
    </row>
    <row r="30" spans="1:7" x14ac:dyDescent="0.25">
      <c r="A30" s="196"/>
      <c r="B30" s="11"/>
      <c r="C30" s="9"/>
      <c r="D30" s="10"/>
    </row>
    <row r="31" spans="1:7" x14ac:dyDescent="0.25">
      <c r="A31" s="197" t="s">
        <v>251</v>
      </c>
      <c r="B31" s="11"/>
      <c r="C31" s="9"/>
      <c r="D31" s="10"/>
    </row>
    <row r="32" spans="1:7" s="18" customFormat="1" ht="31.5" x14ac:dyDescent="0.25">
      <c r="A32" s="15" t="s">
        <v>252</v>
      </c>
      <c r="B32" s="121">
        <f>SUM(B33:B41)</f>
        <v>60347.052800000005</v>
      </c>
      <c r="C32" s="9"/>
      <c r="D32" s="10"/>
      <c r="E32" s="17">
        <f>(B24-B86)/1.2/1.03</f>
        <v>-83707.086618243877</v>
      </c>
      <c r="F32" s="17" t="e">
        <f>(#REF!-#REF!)/1.2/1.03</f>
        <v>#REF!</v>
      </c>
      <c r="G32" s="17" t="e">
        <f>(#REF!-#REF!)/1.2/1.03</f>
        <v>#REF!</v>
      </c>
    </row>
    <row r="33" spans="1:7" x14ac:dyDescent="0.25">
      <c r="A33" s="19" t="s">
        <v>253</v>
      </c>
      <c r="B33" s="11">
        <f>19564*1.0952+5000</f>
        <v>26426.4928</v>
      </c>
      <c r="C33" s="9"/>
      <c r="D33" s="10">
        <v>0</v>
      </c>
    </row>
    <row r="34" spans="1:7" hidden="1" x14ac:dyDescent="0.25">
      <c r="A34" s="19" t="s">
        <v>254</v>
      </c>
      <c r="B34" s="11">
        <v>0</v>
      </c>
      <c r="C34" s="9"/>
      <c r="D34" s="10">
        <v>0</v>
      </c>
    </row>
    <row r="35" spans="1:7" hidden="1" x14ac:dyDescent="0.25">
      <c r="A35" s="19" t="s">
        <v>255</v>
      </c>
      <c r="B35" s="8"/>
      <c r="C35" s="9"/>
      <c r="D35" s="10">
        <v>0</v>
      </c>
    </row>
    <row r="36" spans="1:7" hidden="1" x14ac:dyDescent="0.25">
      <c r="A36" s="19" t="s">
        <v>256</v>
      </c>
      <c r="B36" s="8"/>
      <c r="C36" s="9" t="s">
        <v>234</v>
      </c>
      <c r="D36" s="10">
        <v>0</v>
      </c>
    </row>
    <row r="37" spans="1:7" x14ac:dyDescent="0.25">
      <c r="A37" s="19" t="s">
        <v>257</v>
      </c>
      <c r="B37" s="11">
        <v>5004.58</v>
      </c>
      <c r="C37" s="9"/>
      <c r="D37" s="10">
        <v>0</v>
      </c>
    </row>
    <row r="38" spans="1:7" x14ac:dyDescent="0.25">
      <c r="A38" s="19" t="s">
        <v>339</v>
      </c>
      <c r="B38" s="11">
        <v>16137.09</v>
      </c>
      <c r="C38" s="9"/>
      <c r="D38" s="10">
        <v>0</v>
      </c>
    </row>
    <row r="39" spans="1:7" hidden="1" x14ac:dyDescent="0.25">
      <c r="A39" s="19" t="s">
        <v>259</v>
      </c>
      <c r="B39" s="11">
        <v>0</v>
      </c>
      <c r="C39" s="9"/>
      <c r="D39" s="10">
        <v>0</v>
      </c>
    </row>
    <row r="40" spans="1:7" x14ac:dyDescent="0.25">
      <c r="A40" s="198" t="s">
        <v>335</v>
      </c>
      <c r="B40" s="11">
        <v>12778.89</v>
      </c>
      <c r="C40" s="9"/>
      <c r="D40" s="10"/>
    </row>
    <row r="41" spans="1:7" hidden="1" x14ac:dyDescent="0.25">
      <c r="A41" s="19" t="s">
        <v>253</v>
      </c>
      <c r="B41" s="22"/>
      <c r="C41" s="9"/>
      <c r="D41" s="10"/>
    </row>
    <row r="42" spans="1:7" s="18" customFormat="1" ht="47.25" x14ac:dyDescent="0.25">
      <c r="A42" s="15" t="s">
        <v>261</v>
      </c>
      <c r="B42" s="121">
        <f>SUM(B43:B45)</f>
        <v>11250.474399999999</v>
      </c>
      <c r="C42" s="9"/>
      <c r="D42" s="10"/>
      <c r="E42" s="17"/>
      <c r="F42" s="17"/>
      <c r="G42" s="17"/>
    </row>
    <row r="43" spans="1:7" hidden="1" x14ac:dyDescent="0.25">
      <c r="A43" s="19" t="s">
        <v>262</v>
      </c>
      <c r="B43" s="11"/>
      <c r="C43" s="23"/>
      <c r="D43" s="24"/>
    </row>
    <row r="44" spans="1:7" x14ac:dyDescent="0.25">
      <c r="A44" s="19" t="s">
        <v>263</v>
      </c>
      <c r="B44" s="11">
        <v>3450.46</v>
      </c>
      <c r="C44" s="23"/>
      <c r="D44" s="24"/>
    </row>
    <row r="45" spans="1:7" x14ac:dyDescent="0.25">
      <c r="A45" s="25" t="s">
        <v>264</v>
      </c>
      <c r="B45" s="11">
        <f>7122*1.0952</f>
        <v>7800.0144</v>
      </c>
      <c r="C45" s="23"/>
      <c r="D45" s="24"/>
    </row>
    <row r="46" spans="1:7" s="4" customFormat="1" x14ac:dyDescent="0.25">
      <c r="A46" s="15" t="s">
        <v>265</v>
      </c>
      <c r="B46" s="121">
        <f>SUM(B47:B65)</f>
        <v>26309.5</v>
      </c>
      <c r="C46" s="9"/>
      <c r="D46" s="10"/>
    </row>
    <row r="47" spans="1:7" x14ac:dyDescent="0.25">
      <c r="A47" s="19" t="s">
        <v>266</v>
      </c>
      <c r="B47" s="11">
        <v>102.48</v>
      </c>
      <c r="C47" s="9"/>
      <c r="D47" s="10"/>
      <c r="E47" s="3" t="s">
        <v>267</v>
      </c>
    </row>
    <row r="48" spans="1:7" x14ac:dyDescent="0.25">
      <c r="A48" s="19" t="s">
        <v>268</v>
      </c>
      <c r="B48" s="11">
        <v>124.44</v>
      </c>
      <c r="C48" s="9"/>
      <c r="D48" s="10"/>
      <c r="E48" s="3" t="s">
        <v>269</v>
      </c>
    </row>
    <row r="49" spans="1:5" hidden="1" x14ac:dyDescent="0.25">
      <c r="A49" s="26" t="s">
        <v>270</v>
      </c>
      <c r="B49" s="27">
        <v>0</v>
      </c>
      <c r="C49" s="9"/>
      <c r="D49" s="10"/>
    </row>
    <row r="50" spans="1:5" hidden="1" x14ac:dyDescent="0.25">
      <c r="A50" s="26" t="s">
        <v>271</v>
      </c>
      <c r="B50" s="27">
        <v>0</v>
      </c>
      <c r="C50" s="9"/>
      <c r="D50" s="10"/>
    </row>
    <row r="51" spans="1:5" hidden="1" x14ac:dyDescent="0.25">
      <c r="A51" s="26" t="s">
        <v>272</v>
      </c>
      <c r="B51" s="27">
        <v>0</v>
      </c>
      <c r="C51" s="9"/>
      <c r="D51" s="10"/>
    </row>
    <row r="52" spans="1:5" hidden="1" x14ac:dyDescent="0.25">
      <c r="A52" s="26" t="s">
        <v>273</v>
      </c>
      <c r="B52" s="27">
        <v>0</v>
      </c>
      <c r="C52" s="9"/>
      <c r="D52" s="10"/>
    </row>
    <row r="53" spans="1:5" hidden="1" x14ac:dyDescent="0.25">
      <c r="A53" s="26" t="s">
        <v>274</v>
      </c>
      <c r="B53" s="8">
        <v>0</v>
      </c>
      <c r="C53" s="9">
        <v>0</v>
      </c>
      <c r="D53" s="10">
        <v>522.99</v>
      </c>
    </row>
    <row r="54" spans="1:5" hidden="1" x14ac:dyDescent="0.25">
      <c r="A54" s="26" t="s">
        <v>275</v>
      </c>
      <c r="B54" s="8">
        <v>0</v>
      </c>
      <c r="C54" s="9"/>
      <c r="D54" s="28"/>
    </row>
    <row r="55" spans="1:5" hidden="1" x14ac:dyDescent="0.25">
      <c r="A55" s="26" t="s">
        <v>276</v>
      </c>
      <c r="B55" s="8">
        <v>0</v>
      </c>
      <c r="C55" s="9"/>
      <c r="D55" s="28"/>
    </row>
    <row r="56" spans="1:5" hidden="1" x14ac:dyDescent="0.25">
      <c r="A56" s="26" t="s">
        <v>277</v>
      </c>
      <c r="B56" s="8">
        <v>0</v>
      </c>
      <c r="C56" s="9">
        <v>0</v>
      </c>
      <c r="D56" s="10">
        <f>10695.76/1.18</f>
        <v>9064.203389830509</v>
      </c>
    </row>
    <row r="57" spans="1:5" x14ac:dyDescent="0.25">
      <c r="A57" s="26" t="s">
        <v>314</v>
      </c>
      <c r="B57" s="11">
        <v>9533.7000000000007</v>
      </c>
      <c r="C57" s="9">
        <v>0</v>
      </c>
      <c r="D57" s="10">
        <f>2300/1.18</f>
        <v>1949.1525423728815</v>
      </c>
    </row>
    <row r="58" spans="1:5" hidden="1" x14ac:dyDescent="0.25">
      <c r="A58" s="26" t="s">
        <v>268</v>
      </c>
      <c r="B58" s="8"/>
      <c r="C58" s="9">
        <v>0</v>
      </c>
      <c r="D58" s="10">
        <v>0</v>
      </c>
    </row>
    <row r="59" spans="1:5" hidden="1" x14ac:dyDescent="0.25">
      <c r="A59" s="26" t="s">
        <v>278</v>
      </c>
      <c r="B59" s="8"/>
      <c r="C59" s="9"/>
      <c r="D59" s="10"/>
    </row>
    <row r="60" spans="1:5" hidden="1" x14ac:dyDescent="0.25">
      <c r="A60" s="19" t="s">
        <v>279</v>
      </c>
      <c r="B60" s="8">
        <v>0</v>
      </c>
      <c r="C60" s="9"/>
      <c r="D60" s="10"/>
    </row>
    <row r="61" spans="1:5" hidden="1" x14ac:dyDescent="0.25">
      <c r="A61" s="19" t="s">
        <v>280</v>
      </c>
      <c r="B61" s="8">
        <v>0</v>
      </c>
      <c r="C61" s="9"/>
      <c r="D61" s="10">
        <v>0</v>
      </c>
    </row>
    <row r="62" spans="1:5" x14ac:dyDescent="0.25">
      <c r="A62" s="19" t="s">
        <v>281</v>
      </c>
      <c r="B62" s="11">
        <v>688.6</v>
      </c>
      <c r="C62" s="9"/>
      <c r="D62" s="10">
        <v>0</v>
      </c>
    </row>
    <row r="63" spans="1:5" x14ac:dyDescent="0.25">
      <c r="A63" s="19" t="s">
        <v>282</v>
      </c>
      <c r="B63" s="31">
        <v>15860.28</v>
      </c>
      <c r="C63" s="30">
        <v>1</v>
      </c>
      <c r="D63" s="10">
        <v>0</v>
      </c>
    </row>
    <row r="64" spans="1:5" hidden="1" x14ac:dyDescent="0.25">
      <c r="A64" s="19" t="s">
        <v>283</v>
      </c>
      <c r="B64" s="31">
        <v>0</v>
      </c>
      <c r="C64" s="30">
        <v>30</v>
      </c>
      <c r="D64" s="10">
        <v>1</v>
      </c>
      <c r="E64" s="3">
        <v>1</v>
      </c>
    </row>
    <row r="65" spans="1:4" hidden="1" x14ac:dyDescent="0.25">
      <c r="A65" s="19" t="s">
        <v>284</v>
      </c>
      <c r="B65" s="31">
        <v>0</v>
      </c>
      <c r="C65" s="32"/>
      <c r="D65" s="24">
        <v>0</v>
      </c>
    </row>
    <row r="66" spans="1:4" s="4" customFormat="1" x14ac:dyDescent="0.25">
      <c r="A66" s="33" t="s">
        <v>285</v>
      </c>
      <c r="B66" s="121">
        <f>SUM(B67:B74)</f>
        <v>129108.7995280256</v>
      </c>
      <c r="C66" s="23"/>
      <c r="D66" s="24"/>
    </row>
    <row r="67" spans="1:4" hidden="1" x14ac:dyDescent="0.25">
      <c r="A67" s="19" t="s">
        <v>286</v>
      </c>
      <c r="B67" s="11">
        <v>0</v>
      </c>
      <c r="C67" s="23"/>
      <c r="D67" s="24"/>
    </row>
    <row r="68" spans="1:4" x14ac:dyDescent="0.25">
      <c r="A68" s="19" t="s">
        <v>287</v>
      </c>
      <c r="B68" s="11">
        <f>61095.91*1.04*1.12*1.0952</f>
        <v>77939.377888153598</v>
      </c>
      <c r="C68" s="23"/>
      <c r="D68" s="24"/>
    </row>
    <row r="69" spans="1:4" hidden="1" x14ac:dyDescent="0.25">
      <c r="A69" s="19" t="s">
        <v>288</v>
      </c>
      <c r="B69" s="11">
        <v>0</v>
      </c>
      <c r="C69" s="23"/>
      <c r="D69" s="24"/>
    </row>
    <row r="70" spans="1:4" x14ac:dyDescent="0.25">
      <c r="A70" s="25" t="s">
        <v>289</v>
      </c>
      <c r="B70" s="11">
        <f>1.35*B15</f>
        <v>1536.1650000000002</v>
      </c>
      <c r="C70" s="23"/>
      <c r="D70" s="24"/>
    </row>
    <row r="71" spans="1:4" x14ac:dyDescent="0.25">
      <c r="A71" s="25" t="s">
        <v>290</v>
      </c>
      <c r="B71" s="11">
        <f>5.06*B15</f>
        <v>5757.7740000000003</v>
      </c>
      <c r="C71" s="23"/>
      <c r="D71" s="24"/>
    </row>
    <row r="72" spans="1:4" x14ac:dyDescent="0.25">
      <c r="A72" s="25" t="s">
        <v>291</v>
      </c>
      <c r="B72" s="11">
        <f>17.68*B15</f>
        <v>20118.072</v>
      </c>
      <c r="C72" s="23"/>
      <c r="D72" s="24"/>
    </row>
    <row r="73" spans="1:4" x14ac:dyDescent="0.25">
      <c r="A73" s="25" t="s">
        <v>292</v>
      </c>
      <c r="B73" s="11">
        <f>1972.02*1.04*1.12*1.0952</f>
        <v>2515.6841428992002</v>
      </c>
      <c r="C73" s="23"/>
      <c r="D73" s="24"/>
    </row>
    <row r="74" spans="1:4" x14ac:dyDescent="0.25">
      <c r="A74" s="25" t="s">
        <v>293</v>
      </c>
      <c r="B74" s="11">
        <f>16651.18*1.04*1.12*1.0952</f>
        <v>21241.726496972802</v>
      </c>
      <c r="C74" s="23"/>
      <c r="D74" s="24"/>
    </row>
    <row r="75" spans="1:4" ht="63" x14ac:dyDescent="0.25">
      <c r="A75" s="34" t="s">
        <v>294</v>
      </c>
      <c r="B75" s="121">
        <f>SUM(B76:B76)</f>
        <v>60653.907292160009</v>
      </c>
      <c r="C75" s="23"/>
      <c r="D75" s="24"/>
    </row>
    <row r="76" spans="1:4" x14ac:dyDescent="0.25">
      <c r="A76" s="25" t="s">
        <v>295</v>
      </c>
      <c r="B76" s="11">
        <f>47546*1.04*1.12*1.0952</f>
        <v>60653.907292160009</v>
      </c>
      <c r="C76" s="23"/>
      <c r="D76" s="24"/>
    </row>
    <row r="77" spans="1:4" s="4" customFormat="1" x14ac:dyDescent="0.25">
      <c r="A77" s="33" t="s">
        <v>296</v>
      </c>
      <c r="B77" s="121">
        <f>SUM(B78:B81)</f>
        <v>37500.799200000001</v>
      </c>
      <c r="C77" s="23"/>
      <c r="D77" s="24"/>
    </row>
    <row r="78" spans="1:4" x14ac:dyDescent="0.25">
      <c r="A78" s="35" t="s">
        <v>297</v>
      </c>
      <c r="B78" s="11">
        <f>25621*1.0952</f>
        <v>28060.119199999997</v>
      </c>
      <c r="C78" s="23"/>
      <c r="D78" s="24"/>
    </row>
    <row r="79" spans="1:4" hidden="1" x14ac:dyDescent="0.25">
      <c r="A79" s="35" t="s">
        <v>298</v>
      </c>
      <c r="B79" s="11"/>
      <c r="C79" s="23"/>
      <c r="D79" s="24"/>
    </row>
    <row r="80" spans="1:4" x14ac:dyDescent="0.25">
      <c r="A80" s="36" t="s">
        <v>299</v>
      </c>
      <c r="B80" s="11">
        <f>4006.55+3412.83</f>
        <v>7419.38</v>
      </c>
      <c r="C80" s="23"/>
      <c r="D80" s="24"/>
    </row>
    <row r="81" spans="1:4" x14ac:dyDescent="0.25">
      <c r="A81" s="36" t="s">
        <v>300</v>
      </c>
      <c r="B81" s="11">
        <v>2021.3</v>
      </c>
      <c r="C81" s="23"/>
      <c r="D81" s="24"/>
    </row>
    <row r="82" spans="1:4" x14ac:dyDescent="0.25">
      <c r="A82" s="37" t="s">
        <v>301</v>
      </c>
      <c r="B82" s="14">
        <f>B32+B42+B46+B66+B75+B77</f>
        <v>325170.53322018567</v>
      </c>
      <c r="C82" s="23"/>
      <c r="D82" s="24"/>
    </row>
    <row r="83" spans="1:4" x14ac:dyDescent="0.25">
      <c r="A83" s="199" t="s">
        <v>302</v>
      </c>
      <c r="B83" s="11">
        <f>B82*0.03</f>
        <v>9755.1159966055693</v>
      </c>
      <c r="C83" s="23"/>
      <c r="D83" s="24"/>
    </row>
    <row r="84" spans="1:4" s="18" customFormat="1" x14ac:dyDescent="0.25">
      <c r="A84" s="176" t="s">
        <v>303</v>
      </c>
      <c r="B84" s="121">
        <f>B82+B83</f>
        <v>334925.64921679121</v>
      </c>
      <c r="C84" s="23"/>
      <c r="D84" s="24"/>
    </row>
    <row r="85" spans="1:4" ht="16.5" thickBot="1" x14ac:dyDescent="0.3">
      <c r="A85" s="177" t="s">
        <v>304</v>
      </c>
      <c r="B85" s="142">
        <f>B84*0.2</f>
        <v>66985.129843358241</v>
      </c>
      <c r="C85" s="23"/>
      <c r="D85" s="24"/>
    </row>
    <row r="86" spans="1:4" s="4" customFormat="1" ht="16.5" thickBot="1" x14ac:dyDescent="0.3">
      <c r="A86" s="262" t="s">
        <v>305</v>
      </c>
      <c r="B86" s="261">
        <f>B84+B85</f>
        <v>401910.77906014945</v>
      </c>
      <c r="C86" s="40"/>
      <c r="D86" s="41"/>
    </row>
    <row r="87" spans="1:4" s="4" customFormat="1" ht="16.5" thickBot="1" x14ac:dyDescent="0.3">
      <c r="A87" s="260" t="s">
        <v>306</v>
      </c>
      <c r="B87" s="261">
        <f>B10+B24+B26+B28+B29-B86</f>
        <v>-145996.95906014944</v>
      </c>
      <c r="C87" s="43"/>
      <c r="D87" s="43"/>
    </row>
    <row r="88" spans="1:4" s="4" customFormat="1" ht="16.5" hidden="1" thickBot="1" x14ac:dyDescent="0.3">
      <c r="A88" s="44" t="s">
        <v>307</v>
      </c>
      <c r="B88" s="39"/>
      <c r="C88" s="43"/>
      <c r="D88" s="43"/>
    </row>
    <row r="89" spans="1:4" s="4" customFormat="1" ht="16.5" hidden="1" thickBot="1" x14ac:dyDescent="0.3">
      <c r="A89" s="45" t="s">
        <v>308</v>
      </c>
      <c r="B89" s="46"/>
      <c r="C89" s="43"/>
      <c r="D89" s="43"/>
    </row>
    <row r="90" spans="1:4" s="4" customFormat="1" x14ac:dyDescent="0.25">
      <c r="A90" s="47"/>
      <c r="B90" s="200"/>
      <c r="C90" s="43"/>
      <c r="D90" s="43"/>
    </row>
    <row r="91" spans="1:4" x14ac:dyDescent="0.25">
      <c r="A91" s="49"/>
    </row>
    <row r="92" spans="1:4" x14ac:dyDescent="0.25">
      <c r="A92" s="267" t="s">
        <v>540</v>
      </c>
      <c r="B92" s="267"/>
    </row>
    <row r="93" spans="1:4" x14ac:dyDescent="0.25">
      <c r="A93" s="49"/>
      <c r="B93" s="51"/>
    </row>
    <row r="94" spans="1:4" x14ac:dyDescent="0.25">
      <c r="A94" s="268"/>
      <c r="B94" s="268"/>
      <c r="C94" s="51"/>
    </row>
  </sheetData>
  <autoFilter ref="A32:B89" xr:uid="{00000000-0009-0000-0000-000002000000}">
    <filterColumn colId="1">
      <filters>
        <filter val="1 536,17"/>
        <filter val="102,48"/>
        <filter val="11 250,47"/>
        <filter val="12 778,89"/>
        <filter val="124,44"/>
        <filter val="126 333,06"/>
        <filter val="14 825,87"/>
        <filter val="-142 566,55"/>
        <filter val="15 860,28"/>
        <filter val="16 137,09"/>
        <filter val="2 021,30"/>
        <filter val="2 515,68"/>
        <filter val="21 241,73"/>
        <filter val="26 309,50"/>
        <filter val="26 426,49"/>
        <filter val="28 060,12"/>
        <filter val="3 450,46"/>
        <filter val="322 394,79"/>
        <filter val="332 066,63"/>
        <filter val="37 500,80"/>
        <filter val="398 479,96"/>
        <filter val="5 004,58"/>
        <filter val="60 653,91"/>
        <filter val="66 413,33"/>
        <filter val="688,60"/>
        <filter val="7 419,38"/>
        <filter val="7 800,01"/>
        <filter val="77 939,38"/>
        <filter val="8 274,24"/>
        <filter val="9 533,70"/>
        <filter val="9 671,84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>
    <pageSetUpPr fitToPage="1"/>
  </sheetPr>
  <dimension ref="A1:G95"/>
  <sheetViews>
    <sheetView view="pageBreakPreview" topLeftCell="A61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81</v>
      </c>
      <c r="B5" s="184"/>
      <c r="C5" s="3"/>
      <c r="D5" s="3"/>
    </row>
    <row r="6" spans="1:4" ht="5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3.5" thickBot="1" x14ac:dyDescent="0.25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-359857.99</v>
      </c>
      <c r="C10" s="226"/>
      <c r="D10" s="226"/>
    </row>
    <row r="11" spans="1:4" s="227" customFormat="1" ht="16.5" hidden="1" thickBot="1" x14ac:dyDescent="0.3">
      <c r="A11" s="228" t="s">
        <v>232</v>
      </c>
      <c r="B11" s="229"/>
      <c r="C11" s="230"/>
      <c r="D11" s="230"/>
    </row>
    <row r="12" spans="1:4" ht="15.75" x14ac:dyDescent="0.25">
      <c r="A12" s="231" t="s">
        <v>233</v>
      </c>
      <c r="B12" s="210"/>
      <c r="C12" s="5" t="s">
        <v>234</v>
      </c>
      <c r="D12" s="6" t="s">
        <v>234</v>
      </c>
    </row>
    <row r="13" spans="1:4" ht="15.75" hidden="1" x14ac:dyDescent="0.25">
      <c r="A13" s="7" t="s">
        <v>235</v>
      </c>
      <c r="B13" s="8">
        <v>3192.1</v>
      </c>
      <c r="C13" s="9" t="s">
        <v>234</v>
      </c>
      <c r="D13" s="10" t="s">
        <v>234</v>
      </c>
    </row>
    <row r="14" spans="1:4" ht="15.75" hidden="1" x14ac:dyDescent="0.25">
      <c r="A14" s="7" t="s">
        <v>236</v>
      </c>
      <c r="B14" s="8">
        <v>0</v>
      </c>
      <c r="C14" s="9"/>
      <c r="D14" s="10"/>
    </row>
    <row r="15" spans="1:4" ht="15.75" hidden="1" x14ac:dyDescent="0.25">
      <c r="A15" s="123" t="s">
        <v>237</v>
      </c>
      <c r="B15" s="11">
        <f>B13+B14</f>
        <v>3192.1</v>
      </c>
      <c r="C15" s="9"/>
      <c r="D15" s="10"/>
    </row>
    <row r="16" spans="1:4" ht="15.75" hidden="1" x14ac:dyDescent="0.25">
      <c r="A16" s="123" t="s">
        <v>238</v>
      </c>
      <c r="B16" s="11">
        <f>1062.6+2397.5/3</f>
        <v>1861.7666666666664</v>
      </c>
      <c r="C16" s="9" t="s">
        <v>234</v>
      </c>
      <c r="D16" s="10" t="s">
        <v>234</v>
      </c>
    </row>
    <row r="17" spans="1:7" ht="15.75" hidden="1" x14ac:dyDescent="0.25">
      <c r="A17" s="7" t="s">
        <v>239</v>
      </c>
      <c r="B17" s="8">
        <v>0</v>
      </c>
      <c r="C17" s="9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7" t="s">
        <v>240</v>
      </c>
      <c r="B18" s="8">
        <v>886.5</v>
      </c>
      <c r="C18" s="9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7" t="s">
        <v>241</v>
      </c>
      <c r="B19" s="8">
        <v>720</v>
      </c>
      <c r="C19" s="9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7" t="s">
        <v>242</v>
      </c>
      <c r="B20" s="8">
        <v>1117</v>
      </c>
      <c r="C20" s="9"/>
      <c r="D20" s="10"/>
      <c r="E20" s="3"/>
      <c r="F20" s="3"/>
      <c r="G20" s="3"/>
    </row>
    <row r="21" spans="1:7" ht="15.75" hidden="1" x14ac:dyDescent="0.25">
      <c r="A21" s="7" t="s">
        <v>243</v>
      </c>
      <c r="B21" s="8">
        <v>0</v>
      </c>
      <c r="C21" s="9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7" t="s">
        <v>244</v>
      </c>
      <c r="B22" s="8">
        <v>190</v>
      </c>
      <c r="C22" s="9"/>
      <c r="D22" s="10"/>
      <c r="E22" s="3"/>
      <c r="F22" s="3"/>
      <c r="G22" s="3"/>
    </row>
    <row r="23" spans="1:7" ht="15.75" x14ac:dyDescent="0.25">
      <c r="A23" s="123"/>
      <c r="B23" s="11"/>
      <c r="C23" s="9"/>
      <c r="D23" s="10"/>
      <c r="E23" s="3">
        <v>10</v>
      </c>
      <c r="F23" s="3">
        <v>2</v>
      </c>
      <c r="G23" s="3"/>
    </row>
    <row r="24" spans="1:7" ht="15.75" x14ac:dyDescent="0.25">
      <c r="A24" s="259" t="s">
        <v>317</v>
      </c>
      <c r="B24" s="255">
        <f>VLOOKUP(A5,мкд!W:X,2,FALSE)</f>
        <v>615955.27999999991</v>
      </c>
      <c r="C24" s="9"/>
      <c r="D24" s="10"/>
      <c r="E24" s="3">
        <v>14.19</v>
      </c>
      <c r="F24" s="3">
        <v>15.884285999999999</v>
      </c>
      <c r="G24" s="3"/>
    </row>
    <row r="25" spans="1:7" ht="15.75" x14ac:dyDescent="0.25">
      <c r="A25" s="124" t="s">
        <v>318</v>
      </c>
      <c r="B25" s="14">
        <f>VLOOKUP(A5,мкд!W:Y,3,FALSE)</f>
        <v>599609.39</v>
      </c>
      <c r="C25" s="9"/>
      <c r="D25" s="10"/>
      <c r="E25" s="3"/>
      <c r="F25" s="3"/>
      <c r="G25" s="3"/>
    </row>
    <row r="26" spans="1:7" ht="15.75" hidden="1" x14ac:dyDescent="0.25">
      <c r="A26" s="124" t="s">
        <v>319</v>
      </c>
      <c r="B26" s="14"/>
      <c r="C26" s="9"/>
      <c r="D26" s="10"/>
      <c r="E26" s="3"/>
      <c r="F26" s="3"/>
      <c r="G26" s="3"/>
    </row>
    <row r="27" spans="1:7" ht="15.75" hidden="1" x14ac:dyDescent="0.25">
      <c r="A27" s="124" t="s">
        <v>248</v>
      </c>
      <c r="B27" s="14">
        <f>B26</f>
        <v>0</v>
      </c>
      <c r="C27" s="9"/>
      <c r="D27" s="10"/>
      <c r="E27" s="3"/>
      <c r="F27" s="3"/>
      <c r="G27" s="3"/>
    </row>
    <row r="28" spans="1:7" ht="15.75" x14ac:dyDescent="0.25">
      <c r="A28" s="124" t="s">
        <v>391</v>
      </c>
      <c r="B28" s="14">
        <v>9097.23</v>
      </c>
      <c r="C28" s="9"/>
      <c r="D28" s="10"/>
      <c r="E28" s="3"/>
      <c r="F28" s="3"/>
      <c r="G28" s="3"/>
    </row>
    <row r="29" spans="1:7" ht="15.75" hidden="1" x14ac:dyDescent="0.25">
      <c r="A29" s="124" t="s">
        <v>250</v>
      </c>
      <c r="B29" s="11"/>
      <c r="C29" s="9"/>
      <c r="D29" s="10"/>
      <c r="E29" s="3"/>
      <c r="F29" s="3"/>
      <c r="G29" s="3"/>
    </row>
    <row r="30" spans="1:7" ht="15.75" x14ac:dyDescent="0.25">
      <c r="A30" s="125"/>
      <c r="B30" s="11"/>
      <c r="C30" s="9"/>
      <c r="D30" s="10"/>
      <c r="E30" s="3"/>
      <c r="F30" s="3"/>
      <c r="G30" s="3"/>
    </row>
    <row r="31" spans="1:7" ht="15.75" x14ac:dyDescent="0.25">
      <c r="A31" s="232" t="s">
        <v>251</v>
      </c>
      <c r="B31" s="121">
        <f>SUM(B33:B40)</f>
        <v>176241.93</v>
      </c>
      <c r="C31" s="9"/>
      <c r="D31" s="10"/>
      <c r="E31" s="3"/>
      <c r="F31" s="3"/>
      <c r="G31" s="3"/>
    </row>
    <row r="32" spans="1:7" s="18" customFormat="1" ht="31.5" hidden="1" x14ac:dyDescent="0.25">
      <c r="A32" s="126" t="s">
        <v>252</v>
      </c>
      <c r="C32" s="9"/>
      <c r="D32" s="10"/>
      <c r="E32" s="17">
        <f>(B85-B24-B26)/1.2/1.03</f>
        <v>249877.5094307696</v>
      </c>
      <c r="F32" s="17" t="e">
        <f>(#REF!-#REF!-#REF!)/1.2/1.03</f>
        <v>#REF!</v>
      </c>
      <c r="G32" s="17" t="e">
        <f>(#REF!-#REF!-#REF!)/1.2/1.03</f>
        <v>#REF!</v>
      </c>
    </row>
    <row r="33" spans="1:7" ht="15.75" x14ac:dyDescent="0.25">
      <c r="A33" s="127" t="s">
        <v>253</v>
      </c>
      <c r="B33" s="11">
        <v>90624.34</v>
      </c>
      <c r="C33" s="9"/>
      <c r="D33" s="10">
        <v>37703.19</v>
      </c>
      <c r="E33" s="3"/>
      <c r="F33" s="3"/>
      <c r="G33" s="3"/>
    </row>
    <row r="34" spans="1:7" ht="15.75" x14ac:dyDescent="0.25">
      <c r="A34" s="150" t="s">
        <v>338</v>
      </c>
      <c r="B34" s="151">
        <v>26017.82</v>
      </c>
      <c r="C34" s="9"/>
      <c r="D34" s="10">
        <v>0</v>
      </c>
      <c r="E34" s="3"/>
      <c r="F34" s="3"/>
      <c r="G34" s="3"/>
    </row>
    <row r="35" spans="1:7" ht="15.75" x14ac:dyDescent="0.25">
      <c r="A35" s="150" t="s">
        <v>538</v>
      </c>
      <c r="B35" s="153">
        <v>30807.119999999999</v>
      </c>
      <c r="C35" s="9"/>
      <c r="D35" s="10">
        <v>0</v>
      </c>
      <c r="E35" s="3"/>
      <c r="F35" s="3"/>
      <c r="G35" s="3"/>
    </row>
    <row r="36" spans="1:7" ht="15.75" x14ac:dyDescent="0.25">
      <c r="A36" s="127" t="s">
        <v>392</v>
      </c>
      <c r="B36" s="11">
        <v>18225.57</v>
      </c>
      <c r="C36" s="9"/>
      <c r="D36" s="10">
        <v>0</v>
      </c>
      <c r="E36" s="3"/>
      <c r="F36" s="3"/>
      <c r="G36" s="3"/>
    </row>
    <row r="37" spans="1:7" ht="15.75" hidden="1" x14ac:dyDescent="0.25">
      <c r="A37" s="127" t="s">
        <v>258</v>
      </c>
      <c r="B37" s="11">
        <v>0</v>
      </c>
      <c r="C37" s="9"/>
      <c r="D37" s="10">
        <v>0</v>
      </c>
      <c r="E37" s="3"/>
      <c r="F37" s="3"/>
      <c r="G37" s="3"/>
    </row>
    <row r="38" spans="1:7" ht="15.75" hidden="1" x14ac:dyDescent="0.25">
      <c r="A38" s="127" t="s">
        <v>259</v>
      </c>
      <c r="B38" s="11">
        <v>0</v>
      </c>
      <c r="C38" s="9"/>
      <c r="D38" s="10">
        <v>0</v>
      </c>
      <c r="E38" s="3"/>
      <c r="F38" s="3"/>
      <c r="G38" s="3"/>
    </row>
    <row r="39" spans="1:7" ht="15.75" x14ac:dyDescent="0.25">
      <c r="A39" s="19" t="s">
        <v>310</v>
      </c>
      <c r="B39" s="11">
        <v>10567.08</v>
      </c>
      <c r="C39" s="9"/>
      <c r="D39" s="10"/>
      <c r="E39" s="3"/>
      <c r="F39" s="3"/>
      <c r="G39" s="3"/>
    </row>
    <row r="40" spans="1:7" ht="15.75" hidden="1" x14ac:dyDescent="0.25">
      <c r="A40" s="19" t="s">
        <v>311</v>
      </c>
      <c r="B40" s="11">
        <v>0</v>
      </c>
      <c r="C40" s="9"/>
      <c r="D40" s="10"/>
      <c r="E40" s="3"/>
      <c r="F40" s="3"/>
      <c r="G40" s="3"/>
    </row>
    <row r="41" spans="1:7" s="18" customFormat="1" ht="47.25" x14ac:dyDescent="0.25">
      <c r="A41" s="15" t="s">
        <v>393</v>
      </c>
      <c r="B41" s="121">
        <f>SUM(B42:B44)</f>
        <v>47951.693356132273</v>
      </c>
      <c r="C41" s="9"/>
      <c r="D41" s="10"/>
      <c r="E41" s="17"/>
      <c r="F41" s="17"/>
      <c r="G41" s="17"/>
    </row>
    <row r="42" spans="1:7" ht="15.75" x14ac:dyDescent="0.25">
      <c r="A42" s="127" t="s">
        <v>262</v>
      </c>
      <c r="B42" s="11">
        <v>29135.88</v>
      </c>
      <c r="C42" s="23"/>
      <c r="D42" s="24"/>
      <c r="E42" s="3"/>
      <c r="F42" s="3"/>
      <c r="G42" s="3"/>
    </row>
    <row r="43" spans="1:7" ht="15.75" hidden="1" x14ac:dyDescent="0.25">
      <c r="A43" s="19" t="s">
        <v>263</v>
      </c>
      <c r="B43" s="11"/>
      <c r="C43" s="23"/>
      <c r="D43" s="24"/>
      <c r="E43" s="3"/>
      <c r="F43" s="3"/>
      <c r="G43" s="3"/>
    </row>
    <row r="44" spans="1:7" ht="15.75" x14ac:dyDescent="0.25">
      <c r="A44" s="25" t="s">
        <v>264</v>
      </c>
      <c r="B44" s="11">
        <f>'[4]32тарифы'!D163*B15*1.0952+239.26*1.12</f>
        <v>18815.813356132272</v>
      </c>
      <c r="C44" s="23"/>
      <c r="D44" s="24"/>
      <c r="E44" s="3"/>
      <c r="F44" s="3"/>
      <c r="G44" s="3"/>
    </row>
    <row r="45" spans="1:7" s="4" customFormat="1" ht="15.75" x14ac:dyDescent="0.25">
      <c r="A45" s="126" t="s">
        <v>265</v>
      </c>
      <c r="B45" s="121">
        <f>SUM(B46:B64)</f>
        <v>113748.07</v>
      </c>
      <c r="C45" s="9"/>
      <c r="D45" s="10"/>
    </row>
    <row r="46" spans="1:7" ht="15.75" x14ac:dyDescent="0.25">
      <c r="A46" s="127" t="s">
        <v>324</v>
      </c>
      <c r="B46" s="11">
        <v>3723.36</v>
      </c>
      <c r="C46" s="9"/>
      <c r="D46" s="10"/>
      <c r="E46" s="3" t="s">
        <v>267</v>
      </c>
      <c r="F46" s="3"/>
      <c r="G46" s="3"/>
    </row>
    <row r="47" spans="1:7" ht="15.75" x14ac:dyDescent="0.25">
      <c r="A47" s="127" t="s">
        <v>315</v>
      </c>
      <c r="B47" s="11">
        <v>4521.18</v>
      </c>
      <c r="C47" s="9"/>
      <c r="D47" s="10"/>
      <c r="E47" s="3" t="s">
        <v>269</v>
      </c>
      <c r="F47" s="3"/>
      <c r="G47" s="3"/>
    </row>
    <row r="48" spans="1:7" ht="15.75" hidden="1" x14ac:dyDescent="0.25">
      <c r="A48" s="26" t="s">
        <v>270</v>
      </c>
      <c r="B48" s="11">
        <v>0</v>
      </c>
      <c r="C48" s="9"/>
      <c r="D48" s="10"/>
      <c r="E48" s="3"/>
      <c r="F48" s="3"/>
      <c r="G48" s="3"/>
    </row>
    <row r="49" spans="1:5" ht="15.75" hidden="1" x14ac:dyDescent="0.25">
      <c r="A49" s="95" t="s">
        <v>346</v>
      </c>
      <c r="B49" s="11"/>
      <c r="C49" s="9"/>
      <c r="D49" s="10"/>
      <c r="E49" s="3"/>
    </row>
    <row r="50" spans="1:5" ht="15.75" hidden="1" x14ac:dyDescent="0.25">
      <c r="A50" s="95" t="s">
        <v>440</v>
      </c>
      <c r="B50" s="8"/>
      <c r="C50" s="9"/>
      <c r="D50" s="10"/>
      <c r="E50" s="3"/>
    </row>
    <row r="51" spans="1:5" ht="15.75" hidden="1" x14ac:dyDescent="0.25">
      <c r="A51" s="95" t="s">
        <v>406</v>
      </c>
      <c r="B51" s="11"/>
      <c r="C51" s="9"/>
      <c r="D51" s="10">
        <v>105.14</v>
      </c>
      <c r="E51" s="3"/>
    </row>
    <row r="52" spans="1:5" ht="15.75" x14ac:dyDescent="0.25">
      <c r="A52" s="95" t="s">
        <v>410</v>
      </c>
      <c r="B52" s="11">
        <v>24000</v>
      </c>
      <c r="C52" s="9">
        <v>1</v>
      </c>
      <c r="D52" s="10">
        <v>522.99</v>
      </c>
      <c r="E52" s="3"/>
    </row>
    <row r="53" spans="1:5" ht="15.75" x14ac:dyDescent="0.25">
      <c r="A53" s="131" t="s">
        <v>353</v>
      </c>
      <c r="B53" s="8">
        <v>8133.61</v>
      </c>
      <c r="C53" s="9">
        <v>1</v>
      </c>
      <c r="D53" s="28">
        <v>657.53</v>
      </c>
      <c r="E53" s="3"/>
    </row>
    <row r="54" spans="1:5" ht="15.75" hidden="1" x14ac:dyDescent="0.25">
      <c r="A54" s="26" t="s">
        <v>276</v>
      </c>
      <c r="B54" s="11">
        <v>0</v>
      </c>
      <c r="C54" s="9"/>
      <c r="D54" s="28"/>
      <c r="E54" s="3"/>
    </row>
    <row r="55" spans="1:5" ht="15.75" hidden="1" x14ac:dyDescent="0.25">
      <c r="A55" s="95" t="s">
        <v>277</v>
      </c>
      <c r="B55" s="11">
        <v>0</v>
      </c>
      <c r="C55" s="9">
        <v>0</v>
      </c>
      <c r="D55" s="10">
        <f>10695.76/1.18</f>
        <v>9064.203389830509</v>
      </c>
      <c r="E55" s="3"/>
    </row>
    <row r="56" spans="1:5" ht="15.75" hidden="1" x14ac:dyDescent="0.25">
      <c r="A56" s="95" t="s">
        <v>373</v>
      </c>
      <c r="B56" s="11"/>
      <c r="C56" s="9">
        <v>0</v>
      </c>
      <c r="D56" s="10">
        <f>2300/1.18</f>
        <v>1949.1525423728815</v>
      </c>
      <c r="E56" s="3"/>
    </row>
    <row r="57" spans="1:5" ht="15.75" x14ac:dyDescent="0.25">
      <c r="A57" s="95" t="s">
        <v>314</v>
      </c>
      <c r="B57" s="11">
        <f>VLOOKUP(A5,'[2]МКД 33'!$AI:$FO,137,FALSE)</f>
        <v>25423.200000000004</v>
      </c>
      <c r="C57" s="9">
        <v>0</v>
      </c>
      <c r="D57" s="10">
        <v>0</v>
      </c>
      <c r="E57" s="3"/>
    </row>
    <row r="58" spans="1:5" ht="15.75" hidden="1" x14ac:dyDescent="0.25">
      <c r="A58" s="131" t="s">
        <v>278</v>
      </c>
      <c r="B58" s="8">
        <f>B13*'[4]32тарифы'!D184</f>
        <v>0</v>
      </c>
      <c r="C58" s="9"/>
      <c r="D58" s="10"/>
      <c r="E58" s="3"/>
    </row>
    <row r="59" spans="1:5" ht="15.75" hidden="1" x14ac:dyDescent="0.25">
      <c r="A59" s="19" t="s">
        <v>279</v>
      </c>
      <c r="B59" s="11">
        <v>0</v>
      </c>
      <c r="C59" s="9"/>
      <c r="D59" s="10"/>
      <c r="E59" s="3"/>
    </row>
    <row r="60" spans="1:5" ht="15.75" hidden="1" x14ac:dyDescent="0.25">
      <c r="A60" s="19" t="s">
        <v>280</v>
      </c>
      <c r="B60" s="11">
        <v>0</v>
      </c>
      <c r="C60" s="9"/>
      <c r="D60" s="10">
        <v>0</v>
      </c>
      <c r="E60" s="130">
        <f>B79+B45-B58+739.87</f>
        <v>132765.62</v>
      </c>
    </row>
    <row r="61" spans="1:5" ht="17.25" customHeight="1" x14ac:dyDescent="0.25">
      <c r="A61" s="19" t="s">
        <v>520</v>
      </c>
      <c r="B61" s="11">
        <v>4200</v>
      </c>
      <c r="C61" s="9"/>
      <c r="D61" s="10">
        <v>0</v>
      </c>
      <c r="E61" s="3"/>
    </row>
    <row r="62" spans="1:5" ht="15.75" x14ac:dyDescent="0.25">
      <c r="A62" s="127" t="s">
        <v>325</v>
      </c>
      <c r="B62" s="132">
        <v>25764.68</v>
      </c>
      <c r="C62" s="30">
        <v>1</v>
      </c>
      <c r="D62" s="10">
        <v>0</v>
      </c>
      <c r="E62" s="3"/>
    </row>
    <row r="63" spans="1:5" ht="15.75" x14ac:dyDescent="0.25">
      <c r="A63" s="127" t="s">
        <v>518</v>
      </c>
      <c r="B63" s="132">
        <v>17814.580000000002</v>
      </c>
      <c r="C63" s="30">
        <v>80</v>
      </c>
      <c r="D63" s="10">
        <v>2</v>
      </c>
      <c r="E63" s="3">
        <v>1</v>
      </c>
    </row>
    <row r="64" spans="1:5" ht="15.75" x14ac:dyDescent="0.25">
      <c r="A64" s="19" t="s">
        <v>281</v>
      </c>
      <c r="B64" s="132">
        <v>167.46</v>
      </c>
      <c r="C64" s="32"/>
      <c r="D64" s="24">
        <v>0</v>
      </c>
      <c r="E64" s="3"/>
    </row>
    <row r="65" spans="1:4" s="4" customFormat="1" ht="15.75" x14ac:dyDescent="0.25">
      <c r="A65" s="33" t="s">
        <v>285</v>
      </c>
      <c r="B65" s="121">
        <f>SUM(B66:B73)</f>
        <v>192077.34959165083</v>
      </c>
      <c r="C65" s="23"/>
      <c r="D65" s="24"/>
    </row>
    <row r="66" spans="1:4" ht="15.75" hidden="1" x14ac:dyDescent="0.25">
      <c r="A66" s="127" t="s">
        <v>286</v>
      </c>
      <c r="B66" s="11">
        <v>0</v>
      </c>
      <c r="C66" s="23"/>
      <c r="D66" s="24"/>
    </row>
    <row r="67" spans="1:4" ht="15.75" x14ac:dyDescent="0.25">
      <c r="A67" s="110" t="s">
        <v>287</v>
      </c>
      <c r="B67" s="8">
        <f>46.2*B16</f>
        <v>86013.62</v>
      </c>
      <c r="C67" s="23"/>
      <c r="D67" s="24"/>
    </row>
    <row r="68" spans="1:4" ht="15.75" hidden="1" x14ac:dyDescent="0.25">
      <c r="A68" s="127" t="s">
        <v>288</v>
      </c>
      <c r="B68" s="135">
        <v>0</v>
      </c>
      <c r="C68" s="23"/>
      <c r="D68" s="24"/>
    </row>
    <row r="69" spans="1:4" ht="15.75" x14ac:dyDescent="0.25">
      <c r="A69" s="103" t="s">
        <v>289</v>
      </c>
      <c r="B69" s="8">
        <f>1.35*B15</f>
        <v>4309.335</v>
      </c>
      <c r="C69" s="23"/>
      <c r="D69" s="24"/>
    </row>
    <row r="70" spans="1:4" ht="15.75" x14ac:dyDescent="0.25">
      <c r="A70" s="129" t="s">
        <v>290</v>
      </c>
      <c r="B70" s="11">
        <f>5.06*B15</f>
        <v>16152.025999999998</v>
      </c>
      <c r="C70" s="23"/>
      <c r="D70" s="24"/>
    </row>
    <row r="71" spans="1:4" ht="15.75" x14ac:dyDescent="0.25">
      <c r="A71" s="129" t="s">
        <v>291</v>
      </c>
      <c r="B71" s="11">
        <f>17.68*B15</f>
        <v>56436.327999999994</v>
      </c>
      <c r="C71" s="23"/>
      <c r="D71" s="24"/>
    </row>
    <row r="72" spans="1:4" ht="15.75" x14ac:dyDescent="0.25">
      <c r="A72" s="129" t="s">
        <v>292</v>
      </c>
      <c r="B72" s="11">
        <f>1.04*5532*1.12*1.0952</f>
        <v>7057.1113267199999</v>
      </c>
      <c r="C72" s="23"/>
      <c r="D72" s="24"/>
    </row>
    <row r="73" spans="1:4" ht="15.75" x14ac:dyDescent="0.25">
      <c r="A73" s="129" t="s">
        <v>293</v>
      </c>
      <c r="B73" s="11">
        <f>('[4]32тарифы'!D167*B15)+('[4]32тарифы'!D187*B15)*1.12*1.0952</f>
        <v>22108.929264930812</v>
      </c>
      <c r="C73" s="23"/>
      <c r="D73" s="24"/>
    </row>
    <row r="74" spans="1:4" ht="63" x14ac:dyDescent="0.25">
      <c r="A74" s="136" t="s">
        <v>294</v>
      </c>
      <c r="B74" s="121">
        <f>SUM(B75:B75)</f>
        <v>108467.55799999999</v>
      </c>
      <c r="C74" s="23"/>
      <c r="D74" s="24"/>
    </row>
    <row r="75" spans="1:4" ht="15.75" x14ac:dyDescent="0.25">
      <c r="A75" s="129" t="s">
        <v>295</v>
      </c>
      <c r="B75" s="11">
        <f>33.98*B15</f>
        <v>108467.55799999999</v>
      </c>
      <c r="C75" s="23"/>
      <c r="D75" s="24"/>
    </row>
    <row r="76" spans="1:4" s="4" customFormat="1" ht="15.75" x14ac:dyDescent="0.25">
      <c r="A76" s="133" t="s">
        <v>296</v>
      </c>
      <c r="B76" s="121">
        <f>SUM(B77:B80)</f>
        <v>109736.60427586678</v>
      </c>
      <c r="C76" s="23"/>
      <c r="D76" s="24"/>
    </row>
    <row r="77" spans="1:4" ht="15.75" x14ac:dyDescent="0.25">
      <c r="A77" s="137" t="s">
        <v>297</v>
      </c>
      <c r="B77" s="11">
        <f>'[4]32тарифы'!D170*B15*1.12*1.0952</f>
        <v>84371.881387932182</v>
      </c>
      <c r="C77" s="23"/>
      <c r="D77" s="24"/>
    </row>
    <row r="78" spans="1:4" ht="15.75" hidden="1" x14ac:dyDescent="0.25">
      <c r="A78" s="137" t="s">
        <v>298</v>
      </c>
      <c r="B78" s="11">
        <f>(B26/1.2)*30%</f>
        <v>0</v>
      </c>
      <c r="C78" s="23"/>
      <c r="D78" s="24"/>
    </row>
    <row r="79" spans="1:4" ht="15.75" x14ac:dyDescent="0.25">
      <c r="A79" s="138" t="s">
        <v>299</v>
      </c>
      <c r="B79" s="135">
        <f>10683.84+7593.84</f>
        <v>18277.68</v>
      </c>
      <c r="C79" s="23"/>
      <c r="D79" s="24"/>
    </row>
    <row r="80" spans="1:4" ht="15.75" x14ac:dyDescent="0.25">
      <c r="A80" s="138" t="s">
        <v>300</v>
      </c>
      <c r="B80" s="11">
        <f>'[4]32тарифы'!D173*B13*1.12*1.01</f>
        <v>7087.04288793458</v>
      </c>
      <c r="C80" s="23"/>
      <c r="D80" s="24"/>
    </row>
    <row r="81" spans="1:4" ht="15.75" x14ac:dyDescent="0.25">
      <c r="A81" s="233" t="s">
        <v>301</v>
      </c>
      <c r="B81" s="14">
        <f>B31+B41+B45+B65+B74+B76</f>
        <v>748223.20522364986</v>
      </c>
      <c r="C81" s="23"/>
      <c r="D81" s="24"/>
    </row>
    <row r="82" spans="1:4" ht="15.75" x14ac:dyDescent="0.25">
      <c r="A82" s="139" t="s">
        <v>302</v>
      </c>
      <c r="B82" s="11">
        <f>B81*0.03</f>
        <v>22446.696156709495</v>
      </c>
      <c r="C82" s="23"/>
      <c r="D82" s="24"/>
    </row>
    <row r="83" spans="1:4" s="18" customFormat="1" ht="15.75" x14ac:dyDescent="0.25">
      <c r="A83" s="140" t="s">
        <v>303</v>
      </c>
      <c r="B83" s="121">
        <f>B81+B82</f>
        <v>770669.90138035931</v>
      </c>
      <c r="C83" s="23"/>
      <c r="D83" s="24"/>
    </row>
    <row r="84" spans="1:4" ht="16.5" thickBot="1" x14ac:dyDescent="0.3">
      <c r="A84" s="141" t="s">
        <v>304</v>
      </c>
      <c r="B84" s="142">
        <f>B83*0.2</f>
        <v>154133.98027607187</v>
      </c>
      <c r="C84" s="23"/>
      <c r="D84" s="24"/>
    </row>
    <row r="85" spans="1:4" s="4" customFormat="1" ht="16.5" thickBot="1" x14ac:dyDescent="0.3">
      <c r="A85" s="42" t="s">
        <v>305</v>
      </c>
      <c r="B85" s="46">
        <f>B83+B84</f>
        <v>924803.88165643113</v>
      </c>
      <c r="C85" s="40"/>
      <c r="D85" s="41"/>
    </row>
    <row r="86" spans="1:4" s="4" customFormat="1" ht="16.5" thickBot="1" x14ac:dyDescent="0.3">
      <c r="A86" s="42" t="s">
        <v>306</v>
      </c>
      <c r="B86" s="46">
        <f>B10+B24+B26+B28+B29-B85</f>
        <v>-659609.36165643123</v>
      </c>
      <c r="C86" s="43"/>
      <c r="D86" s="43"/>
    </row>
    <row r="87" spans="1:4" s="4" customFormat="1" ht="16.5" hidden="1" thickBot="1" x14ac:dyDescent="0.3">
      <c r="A87" s="44" t="s">
        <v>307</v>
      </c>
      <c r="B87" s="46"/>
      <c r="C87" s="43"/>
      <c r="D87" s="43"/>
    </row>
    <row r="88" spans="1:4" s="4" customFormat="1" ht="16.5" hidden="1" thickBot="1" x14ac:dyDescent="0.3">
      <c r="A88" s="143" t="s">
        <v>308</v>
      </c>
      <c r="B88" s="46"/>
      <c r="C88" s="43"/>
      <c r="D88" s="43"/>
    </row>
    <row r="89" spans="1:4" ht="15.75" x14ac:dyDescent="0.25">
      <c r="A89" s="3"/>
      <c r="B89" s="130"/>
      <c r="C89" s="3"/>
      <c r="D89" s="3"/>
    </row>
    <row r="90" spans="1:4" ht="10.5" customHeight="1" x14ac:dyDescent="0.25">
      <c r="A90" s="49"/>
      <c r="B90" s="3"/>
      <c r="C90" s="3"/>
      <c r="D90" s="3"/>
    </row>
    <row r="91" spans="1:4" ht="15.75" x14ac:dyDescent="0.25">
      <c r="A91" s="286" t="s">
        <v>542</v>
      </c>
      <c r="B91" s="286"/>
      <c r="C91" s="3"/>
      <c r="D91" s="3"/>
    </row>
    <row r="92" spans="1:4" ht="15.75" x14ac:dyDescent="0.25">
      <c r="A92" s="49"/>
      <c r="B92" s="3"/>
      <c r="C92" s="3"/>
      <c r="D92" s="3"/>
    </row>
    <row r="93" spans="1:4" ht="15.75" hidden="1" x14ac:dyDescent="0.25">
      <c r="A93" s="292" t="s">
        <v>399</v>
      </c>
      <c r="B93" s="292"/>
      <c r="C93" s="51"/>
      <c r="D93" s="3"/>
    </row>
    <row r="94" spans="1:4" ht="15.75" x14ac:dyDescent="0.25">
      <c r="A94" s="3"/>
      <c r="B94" s="3"/>
      <c r="C94" s="3"/>
      <c r="D94" s="3"/>
    </row>
    <row r="95" spans="1:4" ht="15.75" x14ac:dyDescent="0.25">
      <c r="A95" s="3"/>
      <c r="B95" s="3"/>
      <c r="C95" s="3"/>
      <c r="D95" s="3"/>
    </row>
  </sheetData>
  <autoFilter ref="A31:G88" xr:uid="{00000000-0009-0000-0000-00001D000000}">
    <filterColumn colId="1">
      <filters>
        <filter val="10 567,08"/>
        <filter val="108 467,56"/>
        <filter val="109 736,60"/>
        <filter val="113 748,07"/>
        <filter val="154 133,98"/>
        <filter val="16 152,03"/>
        <filter val="167,46"/>
        <filter val="17 814,58"/>
        <filter val="18 225,57"/>
        <filter val="18 277,68"/>
        <filter val="18 815,81"/>
        <filter val="192 077,35"/>
        <filter val="22 108,93"/>
        <filter val="22 446,70"/>
        <filter val="24 000,00"/>
        <filter val="25 423,20"/>
        <filter val="25 764,68"/>
        <filter val="26 017,82"/>
        <filter val="29 135,88"/>
        <filter val="3 723,36"/>
        <filter val="30 807,12"/>
        <filter val="4 200,00"/>
        <filter val="4 309,34"/>
        <filter val="4 521,18"/>
        <filter val="47 951,69"/>
        <filter val="56 436,33"/>
        <filter val="-659 609,36"/>
        <filter val="7 057,11"/>
        <filter val="7 087,04"/>
        <filter val="748 223,21"/>
        <filter val="770 669,90"/>
        <filter val="8 133,61"/>
        <filter val="84 371,88"/>
        <filter val="86 013,62"/>
        <filter val="90 624,34"/>
        <filter val="924 803,88"/>
      </filters>
    </filterColumn>
  </autoFilter>
  <mergeCells count="9">
    <mergeCell ref="D8:D9"/>
    <mergeCell ref="A91:B91"/>
    <mergeCell ref="A93:B93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>
    <pageSetUpPr fitToPage="1"/>
  </sheetPr>
  <dimension ref="A1:G93"/>
  <sheetViews>
    <sheetView view="pageBreakPreview" topLeftCell="A64" zoomScale="90" zoomScaleNormal="100" zoomScaleSheetLayoutView="90" workbookViewId="0">
      <selection activeCell="A24" sqref="A24:B24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4" style="3" bestFit="1" customWidth="1"/>
    <col min="8" max="16384" width="9.140625" style="3"/>
  </cols>
  <sheetData>
    <row r="1" spans="1:4" ht="16.5" customHeight="1" x14ac:dyDescent="0.25">
      <c r="A1" s="269" t="s">
        <v>224</v>
      </c>
      <c r="B1" s="269"/>
    </row>
    <row r="2" spans="1:4" ht="16.5" x14ac:dyDescent="0.25">
      <c r="A2" s="270" t="s">
        <v>225</v>
      </c>
      <c r="B2" s="270"/>
    </row>
    <row r="3" spans="1:4" ht="16.5" x14ac:dyDescent="0.25">
      <c r="A3" s="270" t="s">
        <v>226</v>
      </c>
      <c r="B3" s="270"/>
    </row>
    <row r="4" spans="1:4" x14ac:dyDescent="0.25">
      <c r="A4" s="184" t="s">
        <v>494</v>
      </c>
      <c r="B4" s="184"/>
    </row>
    <row r="5" spans="1:4" x14ac:dyDescent="0.25">
      <c r="A5" s="184" t="s">
        <v>82</v>
      </c>
      <c r="B5" s="184"/>
    </row>
    <row r="6" spans="1:4" ht="5.25" customHeight="1" x14ac:dyDescent="0.25">
      <c r="A6" s="184"/>
      <c r="B6" s="4"/>
      <c r="C6" s="4"/>
    </row>
    <row r="7" spans="1:4" ht="16.5" thickBot="1" x14ac:dyDescent="0.3">
      <c r="A7" s="186"/>
      <c r="B7" s="4"/>
      <c r="C7" s="4"/>
    </row>
    <row r="8" spans="1:4" ht="15.75" customHeight="1" x14ac:dyDescent="0.25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6.5" thickBot="1" x14ac:dyDescent="0.3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-743441.91198596067</v>
      </c>
      <c r="C10" s="226"/>
      <c r="D10" s="226"/>
    </row>
    <row r="11" spans="1:4" s="227" customFormat="1" ht="16.5" hidden="1" thickBot="1" x14ac:dyDescent="0.3">
      <c r="A11" s="228" t="s">
        <v>232</v>
      </c>
      <c r="B11" s="229"/>
      <c r="C11" s="230"/>
      <c r="D11" s="230"/>
    </row>
    <row r="12" spans="1:4" x14ac:dyDescent="0.25">
      <c r="A12" s="231" t="s">
        <v>233</v>
      </c>
      <c r="B12" s="210"/>
      <c r="C12" s="5" t="s">
        <v>234</v>
      </c>
      <c r="D12" s="6" t="s">
        <v>234</v>
      </c>
    </row>
    <row r="13" spans="1:4" hidden="1" x14ac:dyDescent="0.25">
      <c r="A13" s="7" t="s">
        <v>235</v>
      </c>
      <c r="B13" s="11">
        <v>2561.8000000000002</v>
      </c>
      <c r="C13" s="9" t="s">
        <v>234</v>
      </c>
      <c r="D13" s="10" t="s">
        <v>234</v>
      </c>
    </row>
    <row r="14" spans="1:4" hidden="1" x14ac:dyDescent="0.25">
      <c r="A14" s="7" t="s">
        <v>236</v>
      </c>
      <c r="B14" s="11">
        <v>40.4</v>
      </c>
      <c r="C14" s="9"/>
      <c r="D14" s="10"/>
    </row>
    <row r="15" spans="1:4" hidden="1" x14ac:dyDescent="0.25">
      <c r="A15" s="123" t="s">
        <v>237</v>
      </c>
      <c r="B15" s="11">
        <f>B13+B14</f>
        <v>2602.2000000000003</v>
      </c>
      <c r="C15" s="9"/>
      <c r="D15" s="10"/>
    </row>
    <row r="16" spans="1:4" hidden="1" x14ac:dyDescent="0.25">
      <c r="A16" s="123" t="s">
        <v>238</v>
      </c>
      <c r="B16" s="11">
        <f>1594.7+3183.7/3</f>
        <v>2655.9333333333334</v>
      </c>
      <c r="C16" s="9" t="s">
        <v>234</v>
      </c>
      <c r="D16" s="10" t="s">
        <v>234</v>
      </c>
    </row>
    <row r="17" spans="1:7" hidden="1" x14ac:dyDescent="0.25">
      <c r="A17" s="7" t="s">
        <v>240</v>
      </c>
      <c r="B17" s="11">
        <v>646.1</v>
      </c>
      <c r="C17" s="9" t="s">
        <v>234</v>
      </c>
      <c r="D17" s="10" t="s">
        <v>234</v>
      </c>
    </row>
    <row r="18" spans="1:7" hidden="1" x14ac:dyDescent="0.25">
      <c r="A18" s="7" t="s">
        <v>241</v>
      </c>
      <c r="B18" s="11">
        <v>840</v>
      </c>
      <c r="C18" s="9" t="s">
        <v>234</v>
      </c>
      <c r="D18" s="10" t="s">
        <v>234</v>
      </c>
    </row>
    <row r="19" spans="1:7" hidden="1" x14ac:dyDescent="0.25">
      <c r="A19" s="7" t="s">
        <v>242</v>
      </c>
      <c r="B19" s="11">
        <v>839.9</v>
      </c>
      <c r="C19" s="9"/>
      <c r="D19" s="10"/>
    </row>
    <row r="20" spans="1:7" hidden="1" x14ac:dyDescent="0.25">
      <c r="A20" s="7" t="s">
        <v>243</v>
      </c>
      <c r="B20" s="11">
        <v>0</v>
      </c>
      <c r="C20" s="9" t="s">
        <v>234</v>
      </c>
      <c r="D20" s="10" t="s">
        <v>234</v>
      </c>
    </row>
    <row r="21" spans="1:7" hidden="1" x14ac:dyDescent="0.25">
      <c r="A21" s="7" t="s">
        <v>244</v>
      </c>
      <c r="B21" s="11">
        <v>136</v>
      </c>
      <c r="C21" s="9"/>
      <c r="D21" s="10"/>
    </row>
    <row r="22" spans="1:7" hidden="1" x14ac:dyDescent="0.25">
      <c r="A22" s="107"/>
      <c r="B22" s="11"/>
      <c r="C22" s="9"/>
      <c r="D22" s="10"/>
      <c r="E22" s="3">
        <v>10</v>
      </c>
      <c r="F22" s="3">
        <v>2</v>
      </c>
    </row>
    <row r="23" spans="1:7" x14ac:dyDescent="0.25">
      <c r="A23" s="124" t="s">
        <v>317</v>
      </c>
      <c r="B23" s="14">
        <v>584335.35999999999</v>
      </c>
      <c r="C23" s="9"/>
      <c r="D23" s="10"/>
      <c r="E23" s="194">
        <v>16.78</v>
      </c>
      <c r="F23" s="195">
        <v>18.783532000000001</v>
      </c>
    </row>
    <row r="24" spans="1:7" x14ac:dyDescent="0.25">
      <c r="A24" s="259" t="s">
        <v>318</v>
      </c>
      <c r="B24" s="255">
        <v>594672.69999999995</v>
      </c>
      <c r="C24" s="9"/>
      <c r="D24" s="10"/>
    </row>
    <row r="25" spans="1:7" x14ac:dyDescent="0.25">
      <c r="A25" s="124" t="s">
        <v>348</v>
      </c>
      <c r="B25" s="14">
        <v>9160.7000000000007</v>
      </c>
      <c r="C25" s="9"/>
      <c r="D25" s="10"/>
    </row>
    <row r="26" spans="1:7" x14ac:dyDescent="0.25">
      <c r="A26" s="124" t="s">
        <v>349</v>
      </c>
      <c r="B26" s="14">
        <v>11601.23</v>
      </c>
      <c r="C26" s="9"/>
      <c r="D26" s="10"/>
    </row>
    <row r="27" spans="1:7" x14ac:dyDescent="0.25">
      <c r="A27" s="124" t="s">
        <v>391</v>
      </c>
      <c r="B27" s="14">
        <v>7154.31</v>
      </c>
      <c r="C27" s="9"/>
      <c r="D27" s="10"/>
    </row>
    <row r="28" spans="1:7" x14ac:dyDescent="0.25">
      <c r="A28" s="124" t="s">
        <v>250</v>
      </c>
      <c r="B28" s="11"/>
      <c r="C28" s="9"/>
      <c r="D28" s="10"/>
    </row>
    <row r="29" spans="1:7" x14ac:dyDescent="0.25">
      <c r="A29" s="125"/>
      <c r="B29" s="11"/>
      <c r="C29" s="9"/>
      <c r="D29" s="10"/>
    </row>
    <row r="30" spans="1:7" x14ac:dyDescent="0.25">
      <c r="A30" s="232" t="s">
        <v>251</v>
      </c>
      <c r="B30" s="11"/>
      <c r="C30" s="9"/>
      <c r="D30" s="10"/>
    </row>
    <row r="31" spans="1:7" s="18" customFormat="1" ht="31.5" x14ac:dyDescent="0.25">
      <c r="A31" s="126" t="s">
        <v>252</v>
      </c>
      <c r="B31" s="121">
        <f>SUM(B32:B39)</f>
        <v>125521.03000000001</v>
      </c>
      <c r="C31" s="9"/>
      <c r="D31" s="10"/>
      <c r="E31" s="17">
        <f>(B84-B23-B25)/1.2/1.03</f>
        <v>189315.75346081072</v>
      </c>
      <c r="F31" s="17" t="e">
        <f>(#REF!-#REF!-#REF!)/1.2/1.03</f>
        <v>#REF!</v>
      </c>
      <c r="G31" s="17" t="e">
        <f>(#REF!-#REF!-#REF!)/1.2/1.03</f>
        <v>#REF!</v>
      </c>
    </row>
    <row r="32" spans="1:7" x14ac:dyDescent="0.25">
      <c r="A32" s="127" t="s">
        <v>253</v>
      </c>
      <c r="B32" s="11">
        <v>64233.72</v>
      </c>
      <c r="C32" s="9"/>
      <c r="D32" s="10">
        <v>35990.85</v>
      </c>
    </row>
    <row r="33" spans="1:7" x14ac:dyDescent="0.25">
      <c r="A33" s="127" t="s">
        <v>392</v>
      </c>
      <c r="B33" s="237">
        <v>16260.37</v>
      </c>
      <c r="C33" s="9"/>
      <c r="D33" s="10">
        <v>0</v>
      </c>
    </row>
    <row r="34" spans="1:7" x14ac:dyDescent="0.25">
      <c r="A34" s="150" t="s">
        <v>338</v>
      </c>
      <c r="B34" s="160">
        <v>21468.54</v>
      </c>
      <c r="C34" s="9"/>
      <c r="D34" s="10">
        <v>0</v>
      </c>
    </row>
    <row r="35" spans="1:7" x14ac:dyDescent="0.25">
      <c r="A35" s="128" t="s">
        <v>257</v>
      </c>
      <c r="B35" s="237">
        <v>6594.6</v>
      </c>
      <c r="C35" s="9"/>
      <c r="D35" s="10">
        <v>0</v>
      </c>
    </row>
    <row r="36" spans="1:7" hidden="1" x14ac:dyDescent="0.25">
      <c r="A36" s="127" t="s">
        <v>258</v>
      </c>
      <c r="B36" s="237">
        <v>0</v>
      </c>
      <c r="C36" s="9"/>
      <c r="D36" s="10">
        <v>0</v>
      </c>
    </row>
    <row r="37" spans="1:7" hidden="1" x14ac:dyDescent="0.25">
      <c r="A37" s="127" t="s">
        <v>259</v>
      </c>
      <c r="B37" s="11">
        <v>0</v>
      </c>
      <c r="C37" s="9"/>
      <c r="D37" s="10">
        <v>0</v>
      </c>
    </row>
    <row r="38" spans="1:7" x14ac:dyDescent="0.25">
      <c r="A38" s="127" t="s">
        <v>310</v>
      </c>
      <c r="B38" s="11">
        <v>16963.8</v>
      </c>
      <c r="C38" s="9"/>
      <c r="D38" s="10"/>
    </row>
    <row r="39" spans="1:7" hidden="1" x14ac:dyDescent="0.25">
      <c r="A39" s="19" t="s">
        <v>357</v>
      </c>
      <c r="B39" s="11"/>
      <c r="C39" s="9"/>
      <c r="D39" s="10"/>
    </row>
    <row r="40" spans="1:7" s="18" customFormat="1" ht="47.25" x14ac:dyDescent="0.25">
      <c r="A40" s="15" t="s">
        <v>393</v>
      </c>
      <c r="B40" s="121">
        <f>SUM(B41:B43)</f>
        <v>72616.858526593598</v>
      </c>
      <c r="C40" s="9"/>
      <c r="D40" s="10"/>
      <c r="E40" s="17"/>
      <c r="F40" s="17"/>
      <c r="G40" s="17"/>
    </row>
    <row r="41" spans="1:7" x14ac:dyDescent="0.25">
      <c r="A41" s="19" t="s">
        <v>262</v>
      </c>
      <c r="B41" s="11">
        <v>20752.919999999998</v>
      </c>
      <c r="C41" s="23"/>
      <c r="D41" s="24"/>
    </row>
    <row r="42" spans="1:7" x14ac:dyDescent="0.25">
      <c r="A42" s="127" t="s">
        <v>263</v>
      </c>
      <c r="B42" s="11">
        <v>32432.230000000003</v>
      </c>
      <c r="C42" s="23"/>
      <c r="D42" s="24"/>
    </row>
    <row r="43" spans="1:7" x14ac:dyDescent="0.25">
      <c r="A43" s="25" t="s">
        <v>264</v>
      </c>
      <c r="B43" s="11">
        <f>1.04*16682.4420729684*1.12</f>
        <v>19431.708526593593</v>
      </c>
      <c r="C43" s="23"/>
      <c r="D43" s="24"/>
    </row>
    <row r="44" spans="1:7" s="4" customFormat="1" x14ac:dyDescent="0.25">
      <c r="A44" s="15" t="s">
        <v>265</v>
      </c>
      <c r="B44" s="121">
        <f>SUM(B45:B63)</f>
        <v>55505.29</v>
      </c>
      <c r="C44" s="9"/>
      <c r="D44" s="10"/>
    </row>
    <row r="45" spans="1:7" x14ac:dyDescent="0.25">
      <c r="A45" s="127" t="s">
        <v>324</v>
      </c>
      <c r="B45" s="11">
        <v>2713.68</v>
      </c>
      <c r="C45" s="9"/>
      <c r="D45" s="10"/>
      <c r="E45" s="3" t="s">
        <v>267</v>
      </c>
    </row>
    <row r="46" spans="1:7" x14ac:dyDescent="0.25">
      <c r="A46" s="127" t="s">
        <v>315</v>
      </c>
      <c r="B46" s="11">
        <v>3295.14</v>
      </c>
      <c r="C46" s="9"/>
      <c r="D46" s="10"/>
      <c r="E46" s="3" t="s">
        <v>269</v>
      </c>
    </row>
    <row r="47" spans="1:7" hidden="1" x14ac:dyDescent="0.25">
      <c r="A47" s="26" t="s">
        <v>270</v>
      </c>
      <c r="B47" s="11">
        <v>0</v>
      </c>
      <c r="C47" s="9"/>
      <c r="D47" s="10"/>
    </row>
    <row r="48" spans="1:7" hidden="1" x14ac:dyDescent="0.25">
      <c r="A48" s="26" t="s">
        <v>271</v>
      </c>
      <c r="B48" s="11">
        <v>0</v>
      </c>
      <c r="C48" s="9"/>
      <c r="D48" s="10"/>
    </row>
    <row r="49" spans="1:5" x14ac:dyDescent="0.25">
      <c r="A49" s="95" t="s">
        <v>439</v>
      </c>
      <c r="B49" s="11">
        <f>VLOOKUP(A5,'[2]МКД 33'!$AI:$FO,137,FALSE)</f>
        <v>18749.61</v>
      </c>
      <c r="C49" s="9"/>
      <c r="D49" s="10"/>
    </row>
    <row r="50" spans="1:5" hidden="1" x14ac:dyDescent="0.25">
      <c r="A50" s="95" t="s">
        <v>273</v>
      </c>
      <c r="B50" s="11">
        <f>B20*'[4]32тарифы'!D177</f>
        <v>0</v>
      </c>
      <c r="C50" s="9"/>
      <c r="D50" s="10">
        <v>105.14</v>
      </c>
    </row>
    <row r="51" spans="1:5" hidden="1" x14ac:dyDescent="0.25">
      <c r="A51" s="95" t="s">
        <v>274</v>
      </c>
      <c r="B51" s="11">
        <v>0</v>
      </c>
      <c r="C51" s="9">
        <v>0</v>
      </c>
      <c r="D51" s="10">
        <v>522.99</v>
      </c>
    </row>
    <row r="52" spans="1:5" x14ac:dyDescent="0.25">
      <c r="A52" s="95" t="s">
        <v>353</v>
      </c>
      <c r="B52" s="11">
        <v>8133.61</v>
      </c>
      <c r="C52" s="9">
        <v>1</v>
      </c>
      <c r="D52" s="28">
        <v>657.53</v>
      </c>
    </row>
    <row r="53" spans="1:5" hidden="1" x14ac:dyDescent="0.25">
      <c r="A53" s="131" t="s">
        <v>346</v>
      </c>
      <c r="B53" s="11"/>
      <c r="C53" s="9"/>
      <c r="D53" s="28"/>
    </row>
    <row r="54" spans="1:5" hidden="1" x14ac:dyDescent="0.25">
      <c r="A54" s="26" t="s">
        <v>403</v>
      </c>
      <c r="B54" s="11"/>
      <c r="C54" s="9">
        <v>0</v>
      </c>
      <c r="D54" s="10">
        <f>10695.76/1.18</f>
        <v>9064.203389830509</v>
      </c>
    </row>
    <row r="55" spans="1:5" hidden="1" x14ac:dyDescent="0.25">
      <c r="A55" s="95" t="s">
        <v>312</v>
      </c>
      <c r="B55" s="11">
        <v>0</v>
      </c>
      <c r="C55" s="9">
        <v>0</v>
      </c>
      <c r="D55" s="10">
        <f>2300/1.18</f>
        <v>1949.1525423728815</v>
      </c>
      <c r="E55" s="130">
        <f>B78+B44-B57+634.46</f>
        <v>69104.260000000009</v>
      </c>
    </row>
    <row r="56" spans="1:5" hidden="1" x14ac:dyDescent="0.25">
      <c r="A56" s="95" t="s">
        <v>373</v>
      </c>
      <c r="B56" s="11"/>
      <c r="C56" s="9">
        <v>0</v>
      </c>
      <c r="D56" s="10">
        <v>0</v>
      </c>
    </row>
    <row r="57" spans="1:5" hidden="1" x14ac:dyDescent="0.25">
      <c r="A57" s="95" t="s">
        <v>278</v>
      </c>
      <c r="B57" s="11">
        <f>B13*'[4]32тарифы'!D184</f>
        <v>0</v>
      </c>
      <c r="C57" s="9"/>
      <c r="D57" s="10"/>
    </row>
    <row r="58" spans="1:5" hidden="1" x14ac:dyDescent="0.25">
      <c r="A58" s="19" t="s">
        <v>279</v>
      </c>
      <c r="B58" s="11">
        <v>0</v>
      </c>
      <c r="C58" s="9"/>
      <c r="D58" s="10"/>
    </row>
    <row r="59" spans="1:5" hidden="1" x14ac:dyDescent="0.25">
      <c r="A59" s="19" t="s">
        <v>280</v>
      </c>
      <c r="B59" s="11">
        <v>0</v>
      </c>
      <c r="C59" s="9"/>
      <c r="D59" s="10">
        <v>0</v>
      </c>
    </row>
    <row r="60" spans="1:5" hidden="1" x14ac:dyDescent="0.25">
      <c r="A60" s="19" t="s">
        <v>344</v>
      </c>
      <c r="B60" s="11"/>
      <c r="C60" s="9"/>
      <c r="D60" s="10">
        <v>0</v>
      </c>
    </row>
    <row r="61" spans="1:5" x14ac:dyDescent="0.25">
      <c r="A61" s="110" t="s">
        <v>325</v>
      </c>
      <c r="B61" s="132">
        <v>18340.5</v>
      </c>
      <c r="C61" s="30">
        <v>1</v>
      </c>
      <c r="D61" s="10">
        <v>0</v>
      </c>
    </row>
    <row r="62" spans="1:5" ht="15.75" customHeight="1" x14ac:dyDescent="0.25">
      <c r="A62" s="127" t="s">
        <v>520</v>
      </c>
      <c r="B62" s="132">
        <v>4200</v>
      </c>
      <c r="C62" s="30">
        <v>59</v>
      </c>
      <c r="D62" s="10">
        <v>2</v>
      </c>
      <c r="E62" s="3">
        <v>1</v>
      </c>
    </row>
    <row r="63" spans="1:5" x14ac:dyDescent="0.25">
      <c r="A63" s="127" t="s">
        <v>281</v>
      </c>
      <c r="B63" s="132">
        <v>72.75</v>
      </c>
      <c r="C63" s="32"/>
      <c r="D63" s="24">
        <v>0</v>
      </c>
    </row>
    <row r="64" spans="1:5" s="4" customFormat="1" x14ac:dyDescent="0.25">
      <c r="A64" s="33" t="s">
        <v>285</v>
      </c>
      <c r="B64" s="121">
        <f>SUM(B65:B72)</f>
        <v>235334.49274950151</v>
      </c>
      <c r="C64" s="23"/>
      <c r="D64" s="24"/>
    </row>
    <row r="65" spans="1:4" hidden="1" x14ac:dyDescent="0.25">
      <c r="A65" s="19" t="s">
        <v>286</v>
      </c>
      <c r="B65" s="11">
        <v>0</v>
      </c>
      <c r="C65" s="23"/>
      <c r="D65" s="24"/>
    </row>
    <row r="66" spans="1:4" x14ac:dyDescent="0.25">
      <c r="A66" s="127" t="s">
        <v>287</v>
      </c>
      <c r="B66" s="11">
        <f>117147.43*1.01</f>
        <v>118318.90429999999</v>
      </c>
      <c r="C66" s="23"/>
      <c r="D66" s="24"/>
    </row>
    <row r="67" spans="1:4" hidden="1" x14ac:dyDescent="0.25">
      <c r="A67" s="19" t="s">
        <v>288</v>
      </c>
      <c r="B67" s="11">
        <v>0</v>
      </c>
      <c r="C67" s="23"/>
      <c r="D67" s="24"/>
    </row>
    <row r="68" spans="1:4" x14ac:dyDescent="0.25">
      <c r="A68" s="129" t="s">
        <v>289</v>
      </c>
      <c r="B68" s="135">
        <f>1.35*B15</f>
        <v>3512.9700000000007</v>
      </c>
      <c r="C68" s="23"/>
      <c r="D68" s="24"/>
    </row>
    <row r="69" spans="1:4" x14ac:dyDescent="0.25">
      <c r="A69" s="103" t="s">
        <v>290</v>
      </c>
      <c r="B69" s="11">
        <f>5.06*B15</f>
        <v>13167.132</v>
      </c>
      <c r="C69" s="23"/>
      <c r="D69" s="24"/>
    </row>
    <row r="70" spans="1:4" x14ac:dyDescent="0.25">
      <c r="A70" s="129" t="s">
        <v>291</v>
      </c>
      <c r="B70" s="11">
        <f>17.68*B15</f>
        <v>46006.896000000001</v>
      </c>
      <c r="C70" s="23"/>
      <c r="D70" s="24"/>
    </row>
    <row r="71" spans="1:4" x14ac:dyDescent="0.25">
      <c r="A71" s="129" t="s">
        <v>292</v>
      </c>
      <c r="B71" s="11">
        <f>4509*1.04*1.12*1.0952</f>
        <v>5752.0815206400011</v>
      </c>
      <c r="C71" s="23"/>
      <c r="D71" s="24"/>
    </row>
    <row r="72" spans="1:4" x14ac:dyDescent="0.25">
      <c r="A72" s="129" t="s">
        <v>293</v>
      </c>
      <c r="B72" s="11">
        <f>1.04*38078.6464820245*1.12*1.0952</f>
        <v>48576.508928861491</v>
      </c>
      <c r="C72" s="23"/>
      <c r="D72" s="24"/>
    </row>
    <row r="73" spans="1:4" ht="63" x14ac:dyDescent="0.25">
      <c r="A73" s="136" t="s">
        <v>294</v>
      </c>
      <c r="B73" s="121">
        <f>SUM(B74:B74)</f>
        <v>88422.755999999994</v>
      </c>
      <c r="C73" s="23"/>
      <c r="D73" s="24"/>
    </row>
    <row r="74" spans="1:4" x14ac:dyDescent="0.25">
      <c r="A74" s="129" t="s">
        <v>295</v>
      </c>
      <c r="B74" s="11">
        <f>33.98*B15</f>
        <v>88422.755999999994</v>
      </c>
      <c r="C74" s="23"/>
      <c r="D74" s="24"/>
    </row>
    <row r="75" spans="1:4" s="4" customFormat="1" x14ac:dyDescent="0.25">
      <c r="A75" s="133" t="s">
        <v>296</v>
      </c>
      <c r="B75" s="121">
        <f>SUM(B76:B79)</f>
        <v>92090.13200995831</v>
      </c>
      <c r="C75" s="23"/>
      <c r="D75" s="24"/>
    </row>
    <row r="76" spans="1:4" x14ac:dyDescent="0.25">
      <c r="A76" s="137" t="s">
        <v>297</v>
      </c>
      <c r="B76" s="11">
        <f>'[4]32тарифы'!D170*B15*1.12*1.0952</f>
        <v>68779.959821959565</v>
      </c>
      <c r="C76" s="23"/>
      <c r="D76" s="24"/>
    </row>
    <row r="77" spans="1:4" ht="21" customHeight="1" x14ac:dyDescent="0.25">
      <c r="A77" s="137" t="s">
        <v>298</v>
      </c>
      <c r="B77" s="11">
        <v>4658</v>
      </c>
      <c r="C77" s="23"/>
      <c r="D77" s="24"/>
    </row>
    <row r="78" spans="1:4" x14ac:dyDescent="0.25">
      <c r="A78" s="138" t="s">
        <v>299</v>
      </c>
      <c r="B78" s="11">
        <f>7399.35+5565.16</f>
        <v>12964.51</v>
      </c>
      <c r="C78" s="23"/>
      <c r="D78" s="24"/>
    </row>
    <row r="79" spans="1:4" x14ac:dyDescent="0.25">
      <c r="A79" s="138" t="s">
        <v>300</v>
      </c>
      <c r="B79" s="135">
        <f>'[4]32тарифы'!D173*B13*1.12*1.01</f>
        <v>5687.6621879987506</v>
      </c>
      <c r="C79" s="23"/>
      <c r="D79" s="24"/>
    </row>
    <row r="80" spans="1:4" x14ac:dyDescent="0.25">
      <c r="A80" s="233" t="s">
        <v>301</v>
      </c>
      <c r="B80" s="14">
        <f>B31+B40+B44+B64+B73+B75</f>
        <v>669490.55928605341</v>
      </c>
      <c r="C80" s="23"/>
      <c r="D80" s="24"/>
    </row>
    <row r="81" spans="1:4" x14ac:dyDescent="0.25">
      <c r="A81" s="139" t="s">
        <v>302</v>
      </c>
      <c r="B81" s="11">
        <f>B80*0.03</f>
        <v>20084.716778581602</v>
      </c>
      <c r="C81" s="23"/>
      <c r="D81" s="24"/>
    </row>
    <row r="82" spans="1:4" s="18" customFormat="1" x14ac:dyDescent="0.25">
      <c r="A82" s="140" t="s">
        <v>303</v>
      </c>
      <c r="B82" s="121">
        <f>B80+B81</f>
        <v>689575.27606463502</v>
      </c>
      <c r="C82" s="23"/>
      <c r="D82" s="24"/>
    </row>
    <row r="83" spans="1:4" ht="16.5" thickBot="1" x14ac:dyDescent="0.3">
      <c r="A83" s="141" t="s">
        <v>304</v>
      </c>
      <c r="B83" s="142">
        <f>B82*0.2</f>
        <v>137915.05521292702</v>
      </c>
      <c r="C83" s="23"/>
      <c r="D83" s="24"/>
    </row>
    <row r="84" spans="1:4" s="4" customFormat="1" ht="16.5" thickBot="1" x14ac:dyDescent="0.3">
      <c r="A84" s="42" t="s">
        <v>305</v>
      </c>
      <c r="B84" s="46">
        <f>B82+B83</f>
        <v>827490.33127756207</v>
      </c>
      <c r="C84" s="40"/>
      <c r="D84" s="41"/>
    </row>
    <row r="85" spans="1:4" s="4" customFormat="1" ht="16.5" thickBot="1" x14ac:dyDescent="0.3">
      <c r="A85" s="42" t="s">
        <v>306</v>
      </c>
      <c r="B85" s="46">
        <f>B10+B23+B25+B27+B28-B84</f>
        <v>-970281.87326352275</v>
      </c>
      <c r="C85" s="43"/>
      <c r="D85" s="43"/>
    </row>
    <row r="86" spans="1:4" s="4" customFormat="1" ht="16.5" hidden="1" thickBot="1" x14ac:dyDescent="0.3">
      <c r="A86" s="44" t="s">
        <v>307</v>
      </c>
      <c r="B86" s="46"/>
      <c r="C86" s="43"/>
      <c r="D86" s="43"/>
    </row>
    <row r="87" spans="1:4" s="4" customFormat="1" ht="16.5" hidden="1" thickBot="1" x14ac:dyDescent="0.3">
      <c r="A87" s="143" t="s">
        <v>308</v>
      </c>
      <c r="B87" s="46"/>
      <c r="C87" s="43"/>
      <c r="D87" s="43"/>
    </row>
    <row r="88" spans="1:4" x14ac:dyDescent="0.25">
      <c r="B88" s="130"/>
    </row>
    <row r="89" spans="1:4" ht="10.5" customHeight="1" x14ac:dyDescent="0.25">
      <c r="A89" s="49"/>
    </row>
    <row r="90" spans="1:4" x14ac:dyDescent="0.25">
      <c r="A90" s="286" t="s">
        <v>542</v>
      </c>
      <c r="B90" s="286"/>
    </row>
    <row r="91" spans="1:4" x14ac:dyDescent="0.25">
      <c r="A91" s="49"/>
    </row>
    <row r="92" spans="1:4" hidden="1" x14ac:dyDescent="0.25">
      <c r="A92" s="292" t="s">
        <v>399</v>
      </c>
      <c r="B92" s="292"/>
      <c r="C92" s="51"/>
    </row>
    <row r="93" spans="1:4" x14ac:dyDescent="0.25">
      <c r="A93"/>
      <c r="B93"/>
      <c r="C93"/>
      <c r="D93"/>
    </row>
  </sheetData>
  <autoFilter ref="A30:G87" xr:uid="{00000000-0009-0000-0000-00001E000000}">
    <filterColumn colId="1">
      <filters>
        <filter val="118 318,90"/>
        <filter val="12 964,51"/>
        <filter val="125 521,03"/>
        <filter val="13 167,13"/>
        <filter val="137 915,06"/>
        <filter val="16 260,37"/>
        <filter val="16 963,80"/>
        <filter val="18 340,50"/>
        <filter val="18 749,61"/>
        <filter val="19 431,71"/>
        <filter val="2 713,68"/>
        <filter val="20 084,72"/>
        <filter val="20 752,92"/>
        <filter val="21 468,54"/>
        <filter val="235 334,49"/>
        <filter val="3 295,14"/>
        <filter val="3 512,97"/>
        <filter val="32 432,23"/>
        <filter val="4 200,00"/>
        <filter val="4 658,00"/>
        <filter val="46 006,90"/>
        <filter val="48 576,51"/>
        <filter val="5 687,66"/>
        <filter val="5 752,08"/>
        <filter val="55 505,29"/>
        <filter val="6 594,60"/>
        <filter val="64 233,72"/>
        <filter val="669 490,56"/>
        <filter val="68 779,96"/>
        <filter val="689 575,28"/>
        <filter val="72 616,86"/>
        <filter val="72,75"/>
        <filter val="8 133,61"/>
        <filter val="827 490,33"/>
        <filter val="88 422,76"/>
        <filter val="92 090,13"/>
        <filter val="-970 281,87"/>
      </filters>
    </filterColumn>
  </autoFilter>
  <mergeCells count="9">
    <mergeCell ref="D8:D9"/>
    <mergeCell ref="A90:B90"/>
    <mergeCell ref="A92:B92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8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>
    <pageSetUpPr fitToPage="1"/>
  </sheetPr>
  <dimension ref="A1:G95"/>
  <sheetViews>
    <sheetView view="pageBreakPreview" topLeftCell="A70" zoomScale="85" zoomScaleNormal="100" zoomScaleSheetLayoutView="85" workbookViewId="0">
      <selection activeCell="A24" sqref="A24:B24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83</v>
      </c>
      <c r="B5" s="184"/>
      <c r="C5" s="3"/>
      <c r="D5" s="3"/>
    </row>
    <row r="6" spans="1:4" ht="5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3.5" thickBot="1" x14ac:dyDescent="0.25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-1425739.9</v>
      </c>
      <c r="C10" s="226"/>
      <c r="D10" s="226"/>
    </row>
    <row r="11" spans="1:4" s="227" customFormat="1" ht="16.5" hidden="1" thickBot="1" x14ac:dyDescent="0.3">
      <c r="A11" s="228" t="s">
        <v>232</v>
      </c>
      <c r="B11" s="229"/>
      <c r="C11" s="230"/>
      <c r="D11" s="230"/>
    </row>
    <row r="12" spans="1:4" ht="15.75" x14ac:dyDescent="0.25">
      <c r="A12" s="231" t="s">
        <v>233</v>
      </c>
      <c r="B12" s="210"/>
      <c r="C12" s="5" t="s">
        <v>234</v>
      </c>
      <c r="D12" s="6" t="s">
        <v>234</v>
      </c>
    </row>
    <row r="13" spans="1:4" ht="15.75" hidden="1" x14ac:dyDescent="0.25">
      <c r="A13" s="7" t="s">
        <v>235</v>
      </c>
      <c r="B13" s="11">
        <v>3523.3</v>
      </c>
      <c r="C13" s="9" t="s">
        <v>234</v>
      </c>
      <c r="D13" s="10" t="s">
        <v>234</v>
      </c>
    </row>
    <row r="14" spans="1:4" ht="15.75" hidden="1" x14ac:dyDescent="0.25">
      <c r="A14" s="7" t="s">
        <v>236</v>
      </c>
      <c r="B14" s="11">
        <v>0</v>
      </c>
      <c r="C14" s="9"/>
      <c r="D14" s="10"/>
    </row>
    <row r="15" spans="1:4" ht="15.75" hidden="1" x14ac:dyDescent="0.25">
      <c r="A15" s="123" t="s">
        <v>237</v>
      </c>
      <c r="B15" s="11">
        <f>B13+B14</f>
        <v>3523.3</v>
      </c>
      <c r="C15" s="9"/>
      <c r="D15" s="10"/>
    </row>
    <row r="16" spans="1:4" ht="15.75" hidden="1" x14ac:dyDescent="0.25">
      <c r="A16" s="123" t="s">
        <v>238</v>
      </c>
      <c r="B16" s="11">
        <f>986.1+4636.3/3</f>
        <v>2531.5333333333333</v>
      </c>
      <c r="C16" s="9" t="s">
        <v>234</v>
      </c>
      <c r="D16" s="10" t="s">
        <v>234</v>
      </c>
    </row>
    <row r="17" spans="1:7" ht="15.75" hidden="1" x14ac:dyDescent="0.25">
      <c r="A17" s="7" t="s">
        <v>239</v>
      </c>
      <c r="B17" s="11">
        <v>0</v>
      </c>
      <c r="C17" s="9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7" t="s">
        <v>240</v>
      </c>
      <c r="B18" s="11">
        <v>882.1</v>
      </c>
      <c r="C18" s="9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7" t="s">
        <v>241</v>
      </c>
      <c r="B19" s="11">
        <v>720</v>
      </c>
      <c r="C19" s="9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7" t="s">
        <v>242</v>
      </c>
      <c r="B20" s="11">
        <v>1147</v>
      </c>
      <c r="C20" s="9"/>
      <c r="D20" s="10"/>
      <c r="E20" s="3"/>
      <c r="F20" s="3"/>
      <c r="G20" s="3"/>
    </row>
    <row r="21" spans="1:7" ht="15.75" hidden="1" x14ac:dyDescent="0.25">
      <c r="A21" s="7" t="s">
        <v>243</v>
      </c>
      <c r="B21" s="11">
        <v>0</v>
      </c>
      <c r="C21" s="9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7" t="s">
        <v>244</v>
      </c>
      <c r="B22" s="11">
        <v>195</v>
      </c>
      <c r="C22" s="9"/>
      <c r="D22" s="10"/>
      <c r="E22" s="3"/>
      <c r="F22" s="3"/>
      <c r="G22" s="3"/>
    </row>
    <row r="23" spans="1:7" ht="15.75" x14ac:dyDescent="0.25">
      <c r="A23" s="123"/>
      <c r="B23" s="11"/>
      <c r="C23" s="9"/>
      <c r="D23" s="10"/>
      <c r="E23" s="3">
        <v>10</v>
      </c>
      <c r="F23" s="3">
        <v>2</v>
      </c>
      <c r="G23" s="3"/>
    </row>
    <row r="24" spans="1:7" ht="15.75" x14ac:dyDescent="0.25">
      <c r="A24" s="259" t="s">
        <v>317</v>
      </c>
      <c r="B24" s="255">
        <f>VLOOKUP(A5,мкд!W:X,2,FALSE)</f>
        <v>733778.19000000006</v>
      </c>
      <c r="C24" s="9"/>
      <c r="D24" s="10"/>
      <c r="E24" s="3">
        <v>15.48</v>
      </c>
      <c r="F24" s="3">
        <v>17.328312</v>
      </c>
      <c r="G24" s="3"/>
    </row>
    <row r="25" spans="1:7" ht="15.75" x14ac:dyDescent="0.25">
      <c r="A25" s="124" t="s">
        <v>318</v>
      </c>
      <c r="B25" s="14">
        <f>VLOOKUP(A5,мкд!W:Y,3,FALSE)</f>
        <v>756483.33</v>
      </c>
      <c r="C25" s="9"/>
      <c r="D25" s="10"/>
      <c r="E25" s="3"/>
      <c r="F25" s="3"/>
      <c r="G25" s="3"/>
    </row>
    <row r="26" spans="1:7" ht="15.75" hidden="1" x14ac:dyDescent="0.25">
      <c r="A26" s="124" t="s">
        <v>319</v>
      </c>
      <c r="B26" s="14"/>
      <c r="C26" s="9"/>
      <c r="D26" s="10"/>
      <c r="E26" s="3"/>
      <c r="F26" s="3"/>
      <c r="G26" s="3"/>
    </row>
    <row r="27" spans="1:7" ht="15.75" hidden="1" x14ac:dyDescent="0.25">
      <c r="A27" s="124" t="s">
        <v>248</v>
      </c>
      <c r="B27" s="14">
        <f>B26</f>
        <v>0</v>
      </c>
      <c r="C27" s="9"/>
      <c r="D27" s="10"/>
      <c r="E27" s="3"/>
      <c r="F27" s="3"/>
      <c r="G27" s="3"/>
    </row>
    <row r="28" spans="1:7" ht="15.75" x14ac:dyDescent="0.25">
      <c r="A28" s="124" t="s">
        <v>391</v>
      </c>
      <c r="B28" s="14">
        <v>9097.23</v>
      </c>
      <c r="C28" s="9"/>
      <c r="D28" s="10"/>
      <c r="E28" s="3"/>
      <c r="F28" s="3"/>
      <c r="G28" s="3"/>
    </row>
    <row r="29" spans="1:7" ht="15.75" hidden="1" x14ac:dyDescent="0.25">
      <c r="A29" s="124" t="s">
        <v>250</v>
      </c>
      <c r="B29" s="11"/>
      <c r="C29" s="9"/>
      <c r="D29" s="10"/>
      <c r="E29" s="3"/>
      <c r="F29" s="3"/>
      <c r="G29" s="3"/>
    </row>
    <row r="30" spans="1:7" ht="15.75" x14ac:dyDescent="0.25">
      <c r="A30" s="125"/>
      <c r="B30" s="11"/>
      <c r="C30" s="9"/>
      <c r="D30" s="10"/>
      <c r="E30" s="3"/>
      <c r="F30" s="3"/>
      <c r="G30" s="3"/>
    </row>
    <row r="31" spans="1:7" ht="15.75" x14ac:dyDescent="0.25">
      <c r="A31" s="232" t="s">
        <v>251</v>
      </c>
      <c r="B31" s="11"/>
      <c r="C31" s="9"/>
      <c r="D31" s="10"/>
      <c r="E31" s="3"/>
      <c r="F31" s="3"/>
      <c r="G31" s="3"/>
    </row>
    <row r="32" spans="1:7" s="18" customFormat="1" ht="31.5" x14ac:dyDescent="0.25">
      <c r="A32" s="126" t="s">
        <v>252</v>
      </c>
      <c r="B32" s="121">
        <f>SUM(B33:B41)</f>
        <v>161540.40999999997</v>
      </c>
      <c r="C32" s="9"/>
      <c r="D32" s="10"/>
      <c r="E32" s="17">
        <f>(B86-B24-B26)/1.2/1.03</f>
        <v>358539.77584329987</v>
      </c>
      <c r="F32" s="17" t="e">
        <f>(#REF!-#REF!-#REF!)/1.2/1.03</f>
        <v>#REF!</v>
      </c>
      <c r="G32" s="17" t="e">
        <f>(#REF!-#REF!-#REF!)/1.2/1.03</f>
        <v>#REF!</v>
      </c>
    </row>
    <row r="33" spans="1:7" ht="15.75" x14ac:dyDescent="0.25">
      <c r="A33" s="127" t="s">
        <v>253</v>
      </c>
      <c r="B33" s="11">
        <v>81076.92</v>
      </c>
      <c r="C33" s="9"/>
      <c r="D33" s="10">
        <v>51343.45</v>
      </c>
      <c r="E33" s="3"/>
      <c r="F33" s="3"/>
      <c r="G33" s="3"/>
    </row>
    <row r="34" spans="1:7" ht="15.75" x14ac:dyDescent="0.25">
      <c r="A34" s="150" t="s">
        <v>257</v>
      </c>
      <c r="B34" s="11">
        <v>25327.23</v>
      </c>
      <c r="C34" s="9"/>
      <c r="D34" s="10">
        <v>0</v>
      </c>
      <c r="E34" s="3"/>
      <c r="F34" s="3"/>
      <c r="G34" s="3"/>
    </row>
    <row r="35" spans="1:7" ht="16.5" x14ac:dyDescent="0.25">
      <c r="A35" s="146" t="s">
        <v>255</v>
      </c>
      <c r="B35" s="145">
        <v>11651.439999999999</v>
      </c>
      <c r="C35" s="9"/>
      <c r="D35" s="10">
        <v>0</v>
      </c>
      <c r="E35" s="3"/>
      <c r="F35" s="3"/>
      <c r="G35" s="3"/>
    </row>
    <row r="36" spans="1:7" ht="16.5" x14ac:dyDescent="0.25">
      <c r="A36" s="146" t="s">
        <v>256</v>
      </c>
      <c r="B36" s="145">
        <v>10679.560000000001</v>
      </c>
      <c r="C36" s="9" t="s">
        <v>234</v>
      </c>
      <c r="D36" s="10">
        <v>0</v>
      </c>
      <c r="E36" s="3"/>
      <c r="F36" s="3"/>
      <c r="G36" s="3"/>
    </row>
    <row r="37" spans="1:7" ht="15.75" x14ac:dyDescent="0.25">
      <c r="A37" s="127" t="s">
        <v>392</v>
      </c>
      <c r="B37" s="11">
        <v>32805.259999999995</v>
      </c>
      <c r="C37" s="9"/>
      <c r="D37" s="10">
        <v>0</v>
      </c>
      <c r="E37" s="3"/>
      <c r="F37" s="3"/>
      <c r="G37" s="3"/>
    </row>
    <row r="38" spans="1:7" ht="15.75" hidden="1" x14ac:dyDescent="0.25">
      <c r="A38" s="127" t="s">
        <v>258</v>
      </c>
      <c r="B38" s="11">
        <v>0</v>
      </c>
      <c r="C38" s="9"/>
      <c r="D38" s="10">
        <v>0</v>
      </c>
      <c r="E38" s="3"/>
      <c r="F38" s="3"/>
      <c r="G38" s="3"/>
    </row>
    <row r="39" spans="1:7" ht="15.75" hidden="1" x14ac:dyDescent="0.25">
      <c r="A39" s="19" t="s">
        <v>259</v>
      </c>
      <c r="B39" s="11">
        <v>0</v>
      </c>
      <c r="C39" s="9"/>
      <c r="D39" s="10">
        <v>0</v>
      </c>
      <c r="E39" s="3"/>
      <c r="F39" s="3"/>
      <c r="G39" s="3"/>
    </row>
    <row r="40" spans="1:7" ht="15.75" hidden="1" x14ac:dyDescent="0.25">
      <c r="A40" s="19" t="s">
        <v>310</v>
      </c>
      <c r="B40" s="11">
        <v>0</v>
      </c>
      <c r="C40" s="9"/>
      <c r="D40" s="10"/>
      <c r="E40" s="3"/>
      <c r="F40" s="3"/>
      <c r="G40" s="3"/>
    </row>
    <row r="41" spans="1:7" ht="15.75" hidden="1" x14ac:dyDescent="0.25">
      <c r="A41" s="19" t="s">
        <v>311</v>
      </c>
      <c r="B41" s="11">
        <v>0</v>
      </c>
      <c r="C41" s="9"/>
      <c r="D41" s="10"/>
      <c r="E41" s="3"/>
      <c r="F41" s="3"/>
      <c r="G41" s="3"/>
    </row>
    <row r="42" spans="1:7" s="18" customFormat="1" ht="47.25" x14ac:dyDescent="0.25">
      <c r="A42" s="126" t="s">
        <v>393</v>
      </c>
      <c r="B42" s="121">
        <f>SUM(B43:B45)</f>
        <v>197311.59088315952</v>
      </c>
      <c r="C42" s="9"/>
      <c r="D42" s="10"/>
      <c r="E42" s="17"/>
      <c r="F42" s="17"/>
      <c r="G42" s="17"/>
    </row>
    <row r="43" spans="1:7" ht="15.75" hidden="1" x14ac:dyDescent="0.25">
      <c r="A43" s="19" t="s">
        <v>262</v>
      </c>
      <c r="B43" s="11"/>
      <c r="C43" s="23"/>
      <c r="D43" s="24"/>
      <c r="E43" s="3"/>
      <c r="F43" s="3"/>
      <c r="G43" s="3"/>
    </row>
    <row r="44" spans="1:7" ht="15.75" x14ac:dyDescent="0.25">
      <c r="A44" s="19" t="s">
        <v>263</v>
      </c>
      <c r="B44" s="11">
        <v>168581.67</v>
      </c>
      <c r="C44" s="23"/>
      <c r="D44" s="24"/>
      <c r="E44" s="3"/>
      <c r="F44" s="3"/>
      <c r="G44" s="3"/>
    </row>
    <row r="45" spans="1:7" ht="15.75" x14ac:dyDescent="0.25">
      <c r="A45" s="129" t="s">
        <v>264</v>
      </c>
      <c r="B45" s="11">
        <f>1.04*22521.1017606984*1.12*1.0952</f>
        <v>28729.920883159513</v>
      </c>
      <c r="C45" s="23"/>
      <c r="D45" s="24"/>
      <c r="E45" s="3"/>
      <c r="F45" s="3"/>
      <c r="G45" s="3"/>
    </row>
    <row r="46" spans="1:7" s="4" customFormat="1" ht="15.75" x14ac:dyDescent="0.25">
      <c r="A46" s="126" t="s">
        <v>265</v>
      </c>
      <c r="B46" s="121">
        <f>SUM(B47:B65)</f>
        <v>70351.320000000007</v>
      </c>
      <c r="C46" s="9"/>
      <c r="D46" s="10"/>
    </row>
    <row r="47" spans="1:7" ht="15.75" x14ac:dyDescent="0.25">
      <c r="A47" s="127" t="s">
        <v>324</v>
      </c>
      <c r="B47" s="11">
        <v>3704.88</v>
      </c>
      <c r="C47" s="9"/>
      <c r="D47" s="10"/>
      <c r="E47" s="3" t="s">
        <v>267</v>
      </c>
      <c r="F47" s="3"/>
      <c r="G47" s="3"/>
    </row>
    <row r="48" spans="1:7" ht="15.75" x14ac:dyDescent="0.25">
      <c r="A48" s="127" t="s">
        <v>315</v>
      </c>
      <c r="B48" s="11">
        <v>4498.74</v>
      </c>
      <c r="C48" s="9"/>
      <c r="D48" s="10"/>
      <c r="E48" s="3" t="s">
        <v>269</v>
      </c>
      <c r="F48" s="3"/>
      <c r="G48" s="3"/>
    </row>
    <row r="49" spans="1:5" ht="15.75" hidden="1" x14ac:dyDescent="0.25">
      <c r="A49" s="95" t="s">
        <v>270</v>
      </c>
      <c r="B49" s="11">
        <v>0</v>
      </c>
      <c r="C49" s="9"/>
      <c r="D49" s="10"/>
      <c r="E49" s="3"/>
    </row>
    <row r="50" spans="1:5" ht="15.75" hidden="1" x14ac:dyDescent="0.25">
      <c r="A50" s="95" t="s">
        <v>271</v>
      </c>
      <c r="B50" s="11">
        <v>0</v>
      </c>
      <c r="C50" s="9"/>
      <c r="D50" s="10"/>
      <c r="E50" s="3"/>
    </row>
    <row r="51" spans="1:5" ht="15.75" hidden="1" x14ac:dyDescent="0.25">
      <c r="A51" s="95" t="s">
        <v>272</v>
      </c>
      <c r="B51" s="11">
        <v>0</v>
      </c>
      <c r="C51" s="9"/>
      <c r="D51" s="10"/>
      <c r="E51" s="3"/>
    </row>
    <row r="52" spans="1:5" ht="15.75" hidden="1" x14ac:dyDescent="0.25">
      <c r="A52" s="95" t="s">
        <v>273</v>
      </c>
      <c r="B52" s="11">
        <f>B21*'[4]32тарифы'!D177</f>
        <v>0</v>
      </c>
      <c r="C52" s="9"/>
      <c r="D52" s="10">
        <v>105.14</v>
      </c>
      <c r="E52" s="3"/>
    </row>
    <row r="53" spans="1:5" ht="15.75" x14ac:dyDescent="0.25">
      <c r="A53" s="95" t="s">
        <v>314</v>
      </c>
      <c r="B53" s="11">
        <f>VLOOKUP(A5,'[2]МКД 33'!$AI:$FO,137,FALSE)</f>
        <v>25423.200000000004</v>
      </c>
      <c r="C53" s="9">
        <v>0</v>
      </c>
      <c r="D53" s="10">
        <v>522.99</v>
      </c>
      <c r="E53" s="3"/>
    </row>
    <row r="54" spans="1:5" ht="15.75" x14ac:dyDescent="0.25">
      <c r="A54" s="111" t="s">
        <v>353</v>
      </c>
      <c r="B54" s="11">
        <v>8133.61</v>
      </c>
      <c r="C54" s="9">
        <v>1</v>
      </c>
      <c r="D54" s="28">
        <v>657.53</v>
      </c>
      <c r="E54" s="3"/>
    </row>
    <row r="55" spans="1:5" ht="15.75" hidden="1" x14ac:dyDescent="0.25">
      <c r="A55" s="95" t="s">
        <v>276</v>
      </c>
      <c r="B55" s="11">
        <v>0</v>
      </c>
      <c r="C55" s="9"/>
      <c r="D55" s="28"/>
      <c r="E55" s="3"/>
    </row>
    <row r="56" spans="1:5" ht="15.75" hidden="1" x14ac:dyDescent="0.25">
      <c r="A56" s="95" t="s">
        <v>277</v>
      </c>
      <c r="B56" s="11">
        <v>0</v>
      </c>
      <c r="C56" s="9">
        <v>0</v>
      </c>
      <c r="D56" s="10">
        <f>10695.76/1.18</f>
        <v>9064.203389830509</v>
      </c>
      <c r="E56" s="3"/>
    </row>
    <row r="57" spans="1:5" ht="15.75" hidden="1" x14ac:dyDescent="0.25">
      <c r="A57" s="95" t="s">
        <v>342</v>
      </c>
      <c r="B57" s="11"/>
      <c r="C57" s="9">
        <v>0</v>
      </c>
      <c r="D57" s="10">
        <f>2300/1.18</f>
        <v>1949.1525423728815</v>
      </c>
      <c r="E57" s="3"/>
    </row>
    <row r="58" spans="1:5" ht="15.75" hidden="1" x14ac:dyDescent="0.25">
      <c r="A58" s="95" t="s">
        <v>373</v>
      </c>
      <c r="B58" s="11"/>
      <c r="C58" s="9">
        <v>0</v>
      </c>
      <c r="D58" s="10">
        <v>0</v>
      </c>
      <c r="E58" s="3"/>
    </row>
    <row r="59" spans="1:5" ht="15.75" hidden="1" x14ac:dyDescent="0.25">
      <c r="A59" s="131" t="s">
        <v>278</v>
      </c>
      <c r="B59" s="11">
        <f>B13*'[4]32тарифы'!D184</f>
        <v>0</v>
      </c>
      <c r="C59" s="9"/>
      <c r="D59" s="10"/>
      <c r="E59" s="130">
        <f>B80+B46-B59+792.62</f>
        <v>89137.5</v>
      </c>
    </row>
    <row r="60" spans="1:5" ht="15.75" hidden="1" x14ac:dyDescent="0.25">
      <c r="A60" s="19" t="s">
        <v>394</v>
      </c>
      <c r="B60" s="11"/>
      <c r="C60" s="9"/>
      <c r="D60" s="10"/>
      <c r="E60" s="3"/>
    </row>
    <row r="61" spans="1:5" ht="15.75" hidden="1" x14ac:dyDescent="0.25">
      <c r="A61" s="19" t="s">
        <v>414</v>
      </c>
      <c r="B61" s="11"/>
      <c r="C61" s="9"/>
      <c r="D61" s="10">
        <v>0</v>
      </c>
      <c r="E61" s="3"/>
    </row>
    <row r="62" spans="1:5" ht="15.75" hidden="1" x14ac:dyDescent="0.25">
      <c r="A62" s="127" t="s">
        <v>438</v>
      </c>
      <c r="B62" s="11"/>
      <c r="C62" s="9"/>
      <c r="D62" s="10">
        <v>0</v>
      </c>
      <c r="E62" s="3"/>
    </row>
    <row r="63" spans="1:5" ht="15.75" x14ac:dyDescent="0.25">
      <c r="A63" s="127" t="s">
        <v>325</v>
      </c>
      <c r="B63" s="132">
        <v>24258.82</v>
      </c>
      <c r="C63" s="30">
        <v>1</v>
      </c>
      <c r="D63" s="10">
        <v>0</v>
      </c>
      <c r="E63" s="3"/>
    </row>
    <row r="64" spans="1:5" ht="15.75" customHeight="1" x14ac:dyDescent="0.25">
      <c r="A64" s="19" t="s">
        <v>520</v>
      </c>
      <c r="B64" s="132">
        <v>4200</v>
      </c>
      <c r="C64" s="30">
        <v>80</v>
      </c>
      <c r="D64" s="10">
        <v>2</v>
      </c>
      <c r="E64" s="3">
        <v>1</v>
      </c>
    </row>
    <row r="65" spans="1:4" ht="15.75" x14ac:dyDescent="0.25">
      <c r="A65" s="19" t="s">
        <v>394</v>
      </c>
      <c r="B65" s="132">
        <v>132.07</v>
      </c>
      <c r="C65" s="32">
        <v>80</v>
      </c>
      <c r="D65" s="24">
        <v>560</v>
      </c>
    </row>
    <row r="66" spans="1:4" s="4" customFormat="1" ht="15.75" x14ac:dyDescent="0.25">
      <c r="A66" s="133" t="s">
        <v>285</v>
      </c>
      <c r="B66" s="121">
        <f>SUM(B67:B74)</f>
        <v>272740.00257956143</v>
      </c>
      <c r="C66" s="23"/>
      <c r="D66" s="24"/>
    </row>
    <row r="67" spans="1:4" ht="15.75" hidden="1" x14ac:dyDescent="0.25">
      <c r="A67" s="19" t="s">
        <v>286</v>
      </c>
      <c r="B67" s="11">
        <v>0</v>
      </c>
      <c r="C67" s="23"/>
      <c r="D67" s="24"/>
    </row>
    <row r="68" spans="1:4" ht="15.75" x14ac:dyDescent="0.25">
      <c r="A68" s="127" t="s">
        <v>287</v>
      </c>
      <c r="B68" s="135">
        <f>95273*1.04*1.12*1.03</f>
        <v>114303.21011200002</v>
      </c>
      <c r="C68" s="23">
        <f>B16*46.2</f>
        <v>116956.84000000001</v>
      </c>
      <c r="D68" s="24"/>
    </row>
    <row r="69" spans="1:4" ht="15.75" hidden="1" x14ac:dyDescent="0.25">
      <c r="A69" s="19" t="s">
        <v>288</v>
      </c>
      <c r="B69" s="11">
        <v>0</v>
      </c>
      <c r="C69" s="23"/>
      <c r="D69" s="24"/>
    </row>
    <row r="70" spans="1:4" ht="15.75" x14ac:dyDescent="0.25">
      <c r="A70" s="129" t="s">
        <v>289</v>
      </c>
      <c r="B70" s="11">
        <f>1.35*B15</f>
        <v>4756.4550000000008</v>
      </c>
      <c r="C70" s="23"/>
      <c r="D70" s="24"/>
    </row>
    <row r="71" spans="1:4" ht="15.75" x14ac:dyDescent="0.25">
      <c r="A71" s="129" t="s">
        <v>290</v>
      </c>
      <c r="B71" s="11">
        <f>5.06*B15</f>
        <v>17827.898000000001</v>
      </c>
      <c r="C71" s="23"/>
      <c r="D71" s="24"/>
    </row>
    <row r="72" spans="1:4" ht="15.75" x14ac:dyDescent="0.25">
      <c r="A72" s="129" t="s">
        <v>291</v>
      </c>
      <c r="B72" s="11">
        <f>17.68*B15</f>
        <v>62291.944000000003</v>
      </c>
      <c r="C72" s="23"/>
      <c r="D72" s="24"/>
    </row>
    <row r="73" spans="1:4" ht="15.75" x14ac:dyDescent="0.25">
      <c r="A73" s="129" t="s">
        <v>292</v>
      </c>
      <c r="B73" s="11">
        <f>1.04*6106.01300106802*1.12*1.0952</f>
        <v>7789.3733750789415</v>
      </c>
      <c r="C73" s="23"/>
      <c r="D73" s="24"/>
    </row>
    <row r="74" spans="1:4" ht="15.75" x14ac:dyDescent="0.25">
      <c r="A74" s="129" t="s">
        <v>293</v>
      </c>
      <c r="B74" s="11">
        <f>1.04*51557.3342364603*1.12*1.0952</f>
        <v>65771.122092482445</v>
      </c>
      <c r="C74" s="23"/>
      <c r="D74" s="24"/>
    </row>
    <row r="75" spans="1:4" ht="63" x14ac:dyDescent="0.25">
      <c r="A75" s="136" t="s">
        <v>294</v>
      </c>
      <c r="B75" s="121">
        <f>SUM(B76:B76)</f>
        <v>131248.76800000001</v>
      </c>
      <c r="C75" s="23"/>
      <c r="D75" s="24"/>
    </row>
    <row r="76" spans="1:4" ht="15.75" x14ac:dyDescent="0.25">
      <c r="A76" s="129" t="s">
        <v>295</v>
      </c>
      <c r="B76" s="11">
        <f>107000*1.12*1.0952</f>
        <v>131248.76800000001</v>
      </c>
      <c r="C76" s="23"/>
      <c r="D76" s="24"/>
    </row>
    <row r="77" spans="1:4" s="4" customFormat="1" ht="15.75" x14ac:dyDescent="0.25">
      <c r="A77" s="133" t="s">
        <v>296</v>
      </c>
      <c r="B77" s="121">
        <f>SUM(B78:B81)</f>
        <v>119019.35913786033</v>
      </c>
      <c r="C77" s="23"/>
      <c r="D77" s="24"/>
    </row>
    <row r="78" spans="1:4" ht="15.75" x14ac:dyDescent="0.25">
      <c r="A78" s="137" t="s">
        <v>297</v>
      </c>
      <c r="B78" s="11">
        <f>'[4]32тарифы'!D170*B15*1.12*1.0952</f>
        <v>93125.982799442834</v>
      </c>
      <c r="C78" s="23"/>
      <c r="D78" s="24"/>
    </row>
    <row r="79" spans="1:4" ht="15.75" hidden="1" x14ac:dyDescent="0.25">
      <c r="A79" s="137" t="s">
        <v>298</v>
      </c>
      <c r="B79" s="135">
        <f>(B26/1.2)*30%</f>
        <v>0</v>
      </c>
      <c r="C79" s="23"/>
      <c r="D79" s="24"/>
    </row>
    <row r="80" spans="1:4" ht="15.75" x14ac:dyDescent="0.25">
      <c r="A80" s="138" t="s">
        <v>299</v>
      </c>
      <c r="B80" s="11">
        <f>10817.36+7176.2</f>
        <v>17993.560000000001</v>
      </c>
      <c r="C80" s="23"/>
      <c r="D80" s="24"/>
    </row>
    <row r="81" spans="1:4" ht="15.75" x14ac:dyDescent="0.25">
      <c r="A81" s="138" t="s">
        <v>300</v>
      </c>
      <c r="B81" s="11">
        <f>'[4]32тарифы'!D173*B13*1.12*1.02</f>
        <v>7899.816338417495</v>
      </c>
      <c r="C81" s="23"/>
      <c r="D81" s="24"/>
    </row>
    <row r="82" spans="1:4" ht="15.75" x14ac:dyDescent="0.25">
      <c r="A82" s="233" t="s">
        <v>301</v>
      </c>
      <c r="B82" s="14">
        <f>B32+B42+B46+B66+B75+B77</f>
        <v>952211.45060058136</v>
      </c>
      <c r="C82" s="23"/>
      <c r="D82" s="24"/>
    </row>
    <row r="83" spans="1:4" ht="15.75" x14ac:dyDescent="0.25">
      <c r="A83" s="139" t="s">
        <v>302</v>
      </c>
      <c r="B83" s="11">
        <f>B82*0.03</f>
        <v>28566.343518017438</v>
      </c>
      <c r="C83" s="23"/>
      <c r="D83" s="24"/>
    </row>
    <row r="84" spans="1:4" s="18" customFormat="1" ht="15.75" x14ac:dyDescent="0.25">
      <c r="A84" s="140" t="s">
        <v>303</v>
      </c>
      <c r="B84" s="121">
        <f>B82+B83</f>
        <v>980777.7941185988</v>
      </c>
      <c r="C84" s="23"/>
      <c r="D84" s="24"/>
    </row>
    <row r="85" spans="1:4" ht="16.5" thickBot="1" x14ac:dyDescent="0.3">
      <c r="A85" s="141" t="s">
        <v>304</v>
      </c>
      <c r="B85" s="142">
        <f>B84*0.2</f>
        <v>196155.55882371977</v>
      </c>
      <c r="C85" s="23"/>
      <c r="D85" s="24"/>
    </row>
    <row r="86" spans="1:4" s="4" customFormat="1" ht="16.5" thickBot="1" x14ac:dyDescent="0.3">
      <c r="A86" s="38" t="s">
        <v>305</v>
      </c>
      <c r="B86" s="46">
        <f>B84+B85</f>
        <v>1176933.3529423187</v>
      </c>
      <c r="C86" s="40"/>
      <c r="D86" s="41"/>
    </row>
    <row r="87" spans="1:4" s="4" customFormat="1" ht="16.5" thickBot="1" x14ac:dyDescent="0.3">
      <c r="A87" s="42" t="s">
        <v>306</v>
      </c>
      <c r="B87" s="46">
        <f>B10+B24+B26+B28+B29-B86</f>
        <v>-1859797.8329423186</v>
      </c>
      <c r="C87" s="43"/>
      <c r="D87" s="43"/>
    </row>
    <row r="88" spans="1:4" s="4" customFormat="1" ht="16.5" hidden="1" thickBot="1" x14ac:dyDescent="0.3">
      <c r="A88" s="44" t="s">
        <v>307</v>
      </c>
      <c r="B88" s="46"/>
      <c r="C88" s="43"/>
      <c r="D88" s="43"/>
    </row>
    <row r="89" spans="1:4" s="4" customFormat="1" ht="16.5" hidden="1" thickBot="1" x14ac:dyDescent="0.3">
      <c r="A89" s="143" t="s">
        <v>308</v>
      </c>
      <c r="B89" s="46"/>
      <c r="C89" s="43"/>
      <c r="D89" s="43"/>
    </row>
    <row r="90" spans="1:4" ht="15.75" x14ac:dyDescent="0.25">
      <c r="A90" s="3"/>
      <c r="B90" s="130"/>
      <c r="C90" s="3"/>
      <c r="D90" s="3"/>
    </row>
    <row r="91" spans="1:4" ht="10.5" customHeight="1" x14ac:dyDescent="0.25">
      <c r="A91" s="49"/>
      <c r="B91" s="3"/>
      <c r="C91" s="3"/>
      <c r="D91" s="3"/>
    </row>
    <row r="92" spans="1:4" ht="15.75" x14ac:dyDescent="0.25">
      <c r="A92" s="286" t="s">
        <v>542</v>
      </c>
      <c r="B92" s="286"/>
      <c r="C92" s="3"/>
      <c r="D92" s="3"/>
    </row>
    <row r="93" spans="1:4" ht="15.75" x14ac:dyDescent="0.25">
      <c r="A93" s="49"/>
      <c r="B93" s="3"/>
      <c r="C93" s="3"/>
      <c r="D93" s="3"/>
    </row>
    <row r="94" spans="1:4" ht="15.75" hidden="1" x14ac:dyDescent="0.25">
      <c r="A94" s="292" t="s">
        <v>399</v>
      </c>
      <c r="B94" s="292"/>
      <c r="C94" s="51"/>
      <c r="D94" s="3"/>
    </row>
    <row r="95" spans="1:4" ht="15.75" x14ac:dyDescent="0.25">
      <c r="A95" s="3"/>
      <c r="B95" s="3"/>
      <c r="C95" s="3"/>
      <c r="D95" s="3"/>
    </row>
  </sheetData>
  <autoFilter ref="A31:G89" xr:uid="{00000000-0009-0000-0000-00001F000000}">
    <filterColumn colId="1">
      <filters>
        <filter val="1 176 933,35"/>
        <filter val="-1 859 797,83"/>
        <filter val="10 679,56"/>
        <filter val="11 651,44"/>
        <filter val="114 303,21"/>
        <filter val="119 019,36"/>
        <filter val="131 248,77"/>
        <filter val="132,07"/>
        <filter val="161 540,41"/>
        <filter val="168 581,67"/>
        <filter val="17 827,90"/>
        <filter val="17 993,56"/>
        <filter val="196 155,56"/>
        <filter val="197 311,59"/>
        <filter val="24 258,82"/>
        <filter val="25 327,23"/>
        <filter val="25 423,20"/>
        <filter val="272 740,00"/>
        <filter val="28 566,34"/>
        <filter val="28 729,92"/>
        <filter val="3 704,88"/>
        <filter val="32 805,26"/>
        <filter val="4 200,00"/>
        <filter val="4 498,74"/>
        <filter val="4 756,46"/>
        <filter val="62 291,94"/>
        <filter val="65 771,12"/>
        <filter val="7 789,37"/>
        <filter val="7 899,82"/>
        <filter val="70 351,32"/>
        <filter val="8 133,61"/>
        <filter val="81 076,92"/>
        <filter val="93 125,98"/>
        <filter val="952 211,45"/>
        <filter val="980 777,79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>
    <pageSetUpPr fitToPage="1"/>
  </sheetPr>
  <dimension ref="A1:G93"/>
  <sheetViews>
    <sheetView view="pageBreakPreview" topLeftCell="A52" zoomScale="75" zoomScaleNormal="100" zoomScaleSheetLayoutView="75" workbookViewId="0">
      <selection activeCell="A24" sqref="A24:B24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269" t="s">
        <v>224</v>
      </c>
      <c r="B1" s="269"/>
    </row>
    <row r="2" spans="1:4" ht="16.5" x14ac:dyDescent="0.25">
      <c r="A2" s="270" t="s">
        <v>225</v>
      </c>
      <c r="B2" s="270"/>
    </row>
    <row r="3" spans="1:4" ht="16.5" x14ac:dyDescent="0.25">
      <c r="A3" s="270" t="s">
        <v>226</v>
      </c>
      <c r="B3" s="270"/>
    </row>
    <row r="4" spans="1:4" x14ac:dyDescent="0.25">
      <c r="A4" s="184" t="s">
        <v>494</v>
      </c>
      <c r="B4" s="184"/>
    </row>
    <row r="5" spans="1:4" x14ac:dyDescent="0.25">
      <c r="A5" s="184" t="s">
        <v>84</v>
      </c>
      <c r="B5" s="184"/>
    </row>
    <row r="6" spans="1:4" ht="5.25" customHeight="1" x14ac:dyDescent="0.25">
      <c r="A6" s="184"/>
      <c r="B6" s="4"/>
      <c r="C6" s="4"/>
    </row>
    <row r="7" spans="1:4" ht="16.5" thickBot="1" x14ac:dyDescent="0.3">
      <c r="A7" s="186"/>
      <c r="B7" s="4"/>
      <c r="C7" s="4"/>
    </row>
    <row r="8" spans="1:4" ht="15.75" customHeight="1" x14ac:dyDescent="0.25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6.5" thickBot="1" x14ac:dyDescent="0.3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-214047.25</v>
      </c>
      <c r="C10" s="226"/>
      <c r="D10" s="226"/>
    </row>
    <row r="11" spans="1:4" s="227" customFormat="1" ht="16.5" hidden="1" thickBot="1" x14ac:dyDescent="0.3">
      <c r="A11" s="228" t="s">
        <v>232</v>
      </c>
      <c r="B11" s="235"/>
      <c r="C11" s="230"/>
      <c r="D11" s="230"/>
    </row>
    <row r="12" spans="1:4" x14ac:dyDescent="0.25">
      <c r="A12" s="231" t="s">
        <v>233</v>
      </c>
      <c r="B12" s="210"/>
      <c r="C12" s="5" t="s">
        <v>234</v>
      </c>
      <c r="D12" s="6" t="s">
        <v>234</v>
      </c>
    </row>
    <row r="13" spans="1:4" hidden="1" x14ac:dyDescent="0.25">
      <c r="A13" s="7" t="s">
        <v>235</v>
      </c>
      <c r="B13" s="8">
        <v>4258.1000000000004</v>
      </c>
      <c r="C13" s="9" t="s">
        <v>234</v>
      </c>
      <c r="D13" s="10" t="s">
        <v>234</v>
      </c>
    </row>
    <row r="14" spans="1:4" hidden="1" x14ac:dyDescent="0.25">
      <c r="A14" s="7" t="s">
        <v>236</v>
      </c>
      <c r="B14" s="8">
        <v>230.1</v>
      </c>
      <c r="C14" s="9"/>
      <c r="D14" s="10"/>
    </row>
    <row r="15" spans="1:4" hidden="1" x14ac:dyDescent="0.25">
      <c r="A15" s="123" t="s">
        <v>237</v>
      </c>
      <c r="B15" s="11">
        <f>B13+B14</f>
        <v>4488.2000000000007</v>
      </c>
      <c r="C15" s="9"/>
      <c r="D15" s="10"/>
    </row>
    <row r="16" spans="1:4" hidden="1" x14ac:dyDescent="0.25">
      <c r="A16" s="123" t="s">
        <v>238</v>
      </c>
      <c r="B16" s="11">
        <f>1506.1+1919/3</f>
        <v>2145.7666666666664</v>
      </c>
      <c r="C16" s="9" t="s">
        <v>234</v>
      </c>
      <c r="D16" s="10" t="s">
        <v>234</v>
      </c>
    </row>
    <row r="17" spans="1:7" hidden="1" x14ac:dyDescent="0.25">
      <c r="A17" s="7" t="s">
        <v>239</v>
      </c>
      <c r="B17" s="8">
        <v>0</v>
      </c>
      <c r="C17" s="9" t="s">
        <v>234</v>
      </c>
      <c r="D17" s="10" t="s">
        <v>234</v>
      </c>
    </row>
    <row r="18" spans="1:7" hidden="1" x14ac:dyDescent="0.25">
      <c r="A18" s="7" t="s">
        <v>240</v>
      </c>
      <c r="B18" s="8">
        <v>0</v>
      </c>
      <c r="C18" s="9" t="s">
        <v>234</v>
      </c>
      <c r="D18" s="10" t="s">
        <v>234</v>
      </c>
    </row>
    <row r="19" spans="1:7" hidden="1" x14ac:dyDescent="0.25">
      <c r="A19" s="7" t="s">
        <v>241</v>
      </c>
      <c r="B19" s="8">
        <v>840</v>
      </c>
      <c r="C19" s="9" t="s">
        <v>234</v>
      </c>
      <c r="D19" s="10" t="s">
        <v>234</v>
      </c>
    </row>
    <row r="20" spans="1:7" hidden="1" x14ac:dyDescent="0.25">
      <c r="A20" s="7" t="s">
        <v>242</v>
      </c>
      <c r="B20" s="8">
        <v>1394</v>
      </c>
      <c r="C20" s="9"/>
      <c r="D20" s="10"/>
    </row>
    <row r="21" spans="1:7" hidden="1" x14ac:dyDescent="0.25">
      <c r="A21" s="7" t="s">
        <v>243</v>
      </c>
      <c r="B21" s="8">
        <v>0</v>
      </c>
      <c r="C21" s="9" t="s">
        <v>234</v>
      </c>
      <c r="D21" s="10" t="s">
        <v>234</v>
      </c>
    </row>
    <row r="22" spans="1:7" hidden="1" x14ac:dyDescent="0.25">
      <c r="A22" s="7" t="s">
        <v>244</v>
      </c>
      <c r="B22" s="8">
        <v>252</v>
      </c>
      <c r="C22" s="9"/>
      <c r="D22" s="10"/>
    </row>
    <row r="23" spans="1:7" x14ac:dyDescent="0.25">
      <c r="A23" s="123"/>
      <c r="B23" s="11"/>
      <c r="C23" s="9"/>
      <c r="D23" s="10"/>
    </row>
    <row r="24" spans="1:7" x14ac:dyDescent="0.25">
      <c r="A24" s="259" t="s">
        <v>317</v>
      </c>
      <c r="B24" s="255">
        <f>VLOOKUP(A5,мкд!W:X,2,FALSE)</f>
        <v>896479.72</v>
      </c>
      <c r="C24" s="9"/>
      <c r="D24" s="10"/>
      <c r="E24" s="194">
        <v>15.48</v>
      </c>
      <c r="F24" s="195">
        <v>17.328312</v>
      </c>
    </row>
    <row r="25" spans="1:7" x14ac:dyDescent="0.25">
      <c r="A25" s="124" t="s">
        <v>318</v>
      </c>
      <c r="B25" s="14">
        <f>VLOOKUP(A5,мкд!W:Y,3,FALSE)</f>
        <v>884840.88</v>
      </c>
      <c r="C25" s="9"/>
      <c r="D25" s="10"/>
    </row>
    <row r="26" spans="1:7" x14ac:dyDescent="0.25">
      <c r="A26" s="124" t="s">
        <v>348</v>
      </c>
      <c r="B26" s="14">
        <v>48148.43</v>
      </c>
      <c r="C26" s="9"/>
      <c r="D26" s="10"/>
    </row>
    <row r="27" spans="1:7" x14ac:dyDescent="0.25">
      <c r="A27" s="124" t="s">
        <v>349</v>
      </c>
      <c r="B27" s="14">
        <v>28268.12</v>
      </c>
      <c r="C27" s="9"/>
      <c r="D27" s="10"/>
    </row>
    <row r="28" spans="1:7" x14ac:dyDescent="0.25">
      <c r="A28" s="124" t="s">
        <v>391</v>
      </c>
      <c r="B28" s="14">
        <v>9097.23</v>
      </c>
      <c r="C28" s="9"/>
      <c r="D28" s="10"/>
    </row>
    <row r="29" spans="1:7" x14ac:dyDescent="0.25">
      <c r="A29" s="124" t="s">
        <v>250</v>
      </c>
      <c r="B29" s="11"/>
      <c r="C29" s="9"/>
      <c r="D29" s="10"/>
    </row>
    <row r="30" spans="1:7" x14ac:dyDescent="0.25">
      <c r="A30" s="125"/>
      <c r="B30" s="11"/>
      <c r="C30" s="9"/>
      <c r="D30" s="10"/>
    </row>
    <row r="31" spans="1:7" x14ac:dyDescent="0.25">
      <c r="A31" s="232" t="s">
        <v>251</v>
      </c>
      <c r="B31" s="11"/>
      <c r="C31" s="9"/>
      <c r="D31" s="10"/>
    </row>
    <row r="32" spans="1:7" s="18" customFormat="1" ht="31.5" x14ac:dyDescent="0.25">
      <c r="A32" s="126" t="s">
        <v>252</v>
      </c>
      <c r="B32" s="121">
        <f>SUM(B33:B39)</f>
        <v>335013.69</v>
      </c>
      <c r="C32" s="9"/>
      <c r="D32" s="10"/>
      <c r="E32" s="17">
        <f>(B84-B24-B26)/1.2/1.03</f>
        <v>134553.32867758238</v>
      </c>
      <c r="F32" s="17" t="e">
        <f>(#REF!-#REF!-#REF!)/1.2/1.03</f>
        <v>#REF!</v>
      </c>
      <c r="G32" s="17" t="e">
        <f>(#REF!-#REF!-#REF!)/1.2/1.03</f>
        <v>#REF!</v>
      </c>
    </row>
    <row r="33" spans="1:7" x14ac:dyDescent="0.25">
      <c r="A33" s="127" t="s">
        <v>253</v>
      </c>
      <c r="B33" s="11">
        <v>92836.700000000012</v>
      </c>
      <c r="C33" s="9"/>
      <c r="D33" s="10">
        <v>50788.93</v>
      </c>
    </row>
    <row r="34" spans="1:7" hidden="1" x14ac:dyDescent="0.25">
      <c r="A34" s="127" t="s">
        <v>338</v>
      </c>
      <c r="B34" s="11"/>
      <c r="C34" s="9"/>
      <c r="D34" s="10">
        <v>0</v>
      </c>
    </row>
    <row r="35" spans="1:7" x14ac:dyDescent="0.25">
      <c r="A35" s="127" t="s">
        <v>339</v>
      </c>
      <c r="B35" s="8">
        <v>230162.9</v>
      </c>
      <c r="C35" s="9"/>
      <c r="D35" s="10">
        <v>0</v>
      </c>
    </row>
    <row r="36" spans="1:7" hidden="1" x14ac:dyDescent="0.25">
      <c r="A36" s="127" t="s">
        <v>258</v>
      </c>
      <c r="B36" s="11">
        <v>0</v>
      </c>
      <c r="C36" s="9"/>
      <c r="D36" s="10">
        <v>0</v>
      </c>
    </row>
    <row r="37" spans="1:7" hidden="1" x14ac:dyDescent="0.25">
      <c r="A37" s="127" t="s">
        <v>259</v>
      </c>
      <c r="B37" s="11">
        <v>0</v>
      </c>
      <c r="C37" s="9"/>
      <c r="D37" s="10">
        <v>0</v>
      </c>
    </row>
    <row r="38" spans="1:7" x14ac:dyDescent="0.25">
      <c r="A38" s="127" t="s">
        <v>461</v>
      </c>
      <c r="B38" s="11">
        <v>12014.09</v>
      </c>
      <c r="C38" s="9"/>
      <c r="D38" s="10"/>
    </row>
    <row r="39" spans="1:7" hidden="1" x14ac:dyDescent="0.25">
      <c r="A39" s="19" t="s">
        <v>392</v>
      </c>
      <c r="B39" s="8"/>
      <c r="C39" s="9"/>
      <c r="D39" s="10"/>
    </row>
    <row r="40" spans="1:7" s="18" customFormat="1" ht="47.25" x14ac:dyDescent="0.25">
      <c r="A40" s="15" t="s">
        <v>393</v>
      </c>
      <c r="B40" s="121">
        <f>SUM(B41:B43)</f>
        <v>39354.442501995538</v>
      </c>
      <c r="C40" s="9"/>
      <c r="D40" s="10"/>
      <c r="E40" s="17"/>
      <c r="F40" s="17"/>
      <c r="G40" s="17"/>
    </row>
    <row r="41" spans="1:7" x14ac:dyDescent="0.25">
      <c r="A41" s="19" t="s">
        <v>262</v>
      </c>
      <c r="B41" s="11">
        <v>3505.44</v>
      </c>
      <c r="C41" s="23"/>
      <c r="D41" s="24"/>
    </row>
    <row r="42" spans="1:7" hidden="1" x14ac:dyDescent="0.25">
      <c r="A42" s="127" t="s">
        <v>263</v>
      </c>
      <c r="B42" s="11"/>
      <c r="C42" s="23"/>
      <c r="D42" s="24"/>
    </row>
    <row r="43" spans="1:7" x14ac:dyDescent="0.25">
      <c r="A43" s="25" t="s">
        <v>264</v>
      </c>
      <c r="B43" s="11">
        <f>1.04*28101.6796617849*1.12*1.0952</f>
        <v>35849.002501995536</v>
      </c>
      <c r="C43" s="23"/>
      <c r="D43" s="24"/>
    </row>
    <row r="44" spans="1:7" s="4" customFormat="1" x14ac:dyDescent="0.25">
      <c r="A44" s="15" t="s">
        <v>265</v>
      </c>
      <c r="B44" s="121">
        <f>SUM(B45:B63)</f>
        <v>74863.55</v>
      </c>
      <c r="C44" s="9"/>
      <c r="D44" s="10"/>
    </row>
    <row r="45" spans="1:7" hidden="1" x14ac:dyDescent="0.25">
      <c r="A45" s="127" t="s">
        <v>266</v>
      </c>
      <c r="B45" s="11">
        <v>0</v>
      </c>
      <c r="C45" s="9"/>
      <c r="D45" s="10"/>
      <c r="E45" s="3" t="s">
        <v>267</v>
      </c>
    </row>
    <row r="46" spans="1:7" x14ac:dyDescent="0.25">
      <c r="A46" s="127" t="s">
        <v>520</v>
      </c>
      <c r="B46" s="11">
        <v>4200</v>
      </c>
      <c r="C46" s="9"/>
      <c r="D46" s="10"/>
      <c r="E46" s="3" t="s">
        <v>269</v>
      </c>
    </row>
    <row r="47" spans="1:7" x14ac:dyDescent="0.25">
      <c r="A47" s="26" t="s">
        <v>394</v>
      </c>
      <c r="B47" s="11">
        <v>85.06</v>
      </c>
      <c r="C47" s="9"/>
      <c r="D47" s="10"/>
    </row>
    <row r="48" spans="1:7" hidden="1" x14ac:dyDescent="0.25">
      <c r="A48" s="26" t="s">
        <v>344</v>
      </c>
      <c r="B48" s="11"/>
      <c r="C48" s="9"/>
      <c r="D48" s="10"/>
    </row>
    <row r="49" spans="1:5" hidden="1" x14ac:dyDescent="0.25">
      <c r="A49" s="95" t="s">
        <v>345</v>
      </c>
      <c r="B49" s="11"/>
      <c r="C49" s="9"/>
      <c r="D49" s="10"/>
    </row>
    <row r="50" spans="1:5" hidden="1" x14ac:dyDescent="0.25">
      <c r="A50" s="95" t="s">
        <v>273</v>
      </c>
      <c r="B50" s="70">
        <f>B21*'[4]32тарифы'!D177</f>
        <v>0</v>
      </c>
      <c r="C50" s="9"/>
      <c r="D50" s="10">
        <v>105.14</v>
      </c>
    </row>
    <row r="51" spans="1:5" hidden="1" x14ac:dyDescent="0.25">
      <c r="A51" s="95" t="s">
        <v>373</v>
      </c>
      <c r="B51" s="11"/>
      <c r="C51" s="9">
        <v>0</v>
      </c>
      <c r="D51" s="10">
        <v>522.99</v>
      </c>
    </row>
    <row r="52" spans="1:5" x14ac:dyDescent="0.25">
      <c r="A52" s="95" t="s">
        <v>275</v>
      </c>
      <c r="B52" s="11">
        <v>8133.61</v>
      </c>
      <c r="C52" s="9">
        <v>1</v>
      </c>
      <c r="D52" s="28">
        <v>695.13</v>
      </c>
    </row>
    <row r="53" spans="1:5" hidden="1" x14ac:dyDescent="0.25">
      <c r="A53" s="95" t="s">
        <v>276</v>
      </c>
      <c r="B53" s="70">
        <v>0</v>
      </c>
      <c r="C53" s="9"/>
      <c r="D53" s="28"/>
    </row>
    <row r="54" spans="1:5" hidden="1" x14ac:dyDescent="0.25">
      <c r="A54" s="26" t="s">
        <v>277</v>
      </c>
      <c r="B54" s="70">
        <v>0</v>
      </c>
      <c r="C54" s="9">
        <v>0</v>
      </c>
      <c r="D54" s="10">
        <f>10695.76/1.18</f>
        <v>9064.203389830509</v>
      </c>
    </row>
    <row r="55" spans="1:5" hidden="1" x14ac:dyDescent="0.25">
      <c r="A55" s="95" t="s">
        <v>312</v>
      </c>
      <c r="B55" s="11">
        <v>0</v>
      </c>
      <c r="C55" s="9">
        <v>0</v>
      </c>
      <c r="D55" s="10">
        <f>2300/1.18</f>
        <v>1949.1525423728815</v>
      </c>
      <c r="E55" s="130">
        <f>B78+B44-B57+422.58</f>
        <v>95388.900000000009</v>
      </c>
    </row>
    <row r="56" spans="1:5" hidden="1" x14ac:dyDescent="0.25">
      <c r="A56" s="95" t="s">
        <v>313</v>
      </c>
      <c r="B56" s="11">
        <v>0</v>
      </c>
      <c r="C56" s="9">
        <v>0</v>
      </c>
      <c r="D56" s="10">
        <v>0</v>
      </c>
    </row>
    <row r="57" spans="1:5" hidden="1" x14ac:dyDescent="0.25">
      <c r="A57" s="95" t="s">
        <v>278</v>
      </c>
      <c r="B57" s="11">
        <f>B13*'[4]32тарифы'!D184</f>
        <v>0</v>
      </c>
      <c r="C57" s="9"/>
      <c r="D57" s="10"/>
    </row>
    <row r="58" spans="1:5" hidden="1" x14ac:dyDescent="0.25">
      <c r="A58" s="19" t="s">
        <v>279</v>
      </c>
      <c r="B58" s="70">
        <v>0</v>
      </c>
      <c r="C58" s="9"/>
      <c r="D58" s="10"/>
    </row>
    <row r="59" spans="1:5" hidden="1" x14ac:dyDescent="0.25">
      <c r="A59" s="19" t="s">
        <v>280</v>
      </c>
      <c r="B59" s="70">
        <v>0</v>
      </c>
      <c r="C59" s="9"/>
      <c r="D59" s="10">
        <v>0</v>
      </c>
    </row>
    <row r="60" spans="1:5" hidden="1" x14ac:dyDescent="0.25">
      <c r="A60" s="19" t="s">
        <v>336</v>
      </c>
      <c r="B60" s="70">
        <v>0</v>
      </c>
      <c r="C60" s="9"/>
      <c r="D60" s="10">
        <v>0</v>
      </c>
    </row>
    <row r="61" spans="1:5" x14ac:dyDescent="0.25">
      <c r="A61" s="110" t="s">
        <v>397</v>
      </c>
      <c r="B61" s="77">
        <v>32254.83</v>
      </c>
      <c r="C61" s="30">
        <v>1</v>
      </c>
      <c r="D61" s="10">
        <v>0</v>
      </c>
    </row>
    <row r="62" spans="1:5" x14ac:dyDescent="0.25">
      <c r="A62" s="127" t="s">
        <v>283</v>
      </c>
      <c r="B62" s="132">
        <f>VLOOKUP(A5,'[2]МКД 33'!$AI:$FO,137,FALSE)</f>
        <v>30190.050000000003</v>
      </c>
      <c r="C62" s="30">
        <v>95</v>
      </c>
      <c r="D62" s="10">
        <v>2</v>
      </c>
      <c r="E62" s="3">
        <v>1</v>
      </c>
    </row>
    <row r="63" spans="1:5" ht="16.5" hidden="1" x14ac:dyDescent="0.25">
      <c r="A63" s="146" t="s">
        <v>338</v>
      </c>
      <c r="B63" s="132"/>
      <c r="C63" s="32">
        <v>96</v>
      </c>
      <c r="D63" s="24">
        <f>650/1.18</f>
        <v>550.84745762711873</v>
      </c>
    </row>
    <row r="64" spans="1:5" s="4" customFormat="1" x14ac:dyDescent="0.25">
      <c r="A64" s="33" t="s">
        <v>285</v>
      </c>
      <c r="B64" s="121">
        <f>SUM(B65:B72)</f>
        <v>245389.17068200646</v>
      </c>
      <c r="C64" s="23"/>
      <c r="D64" s="24"/>
    </row>
    <row r="65" spans="1:4" hidden="1" x14ac:dyDescent="0.25">
      <c r="A65" s="19" t="s">
        <v>286</v>
      </c>
      <c r="B65" s="11">
        <v>0</v>
      </c>
      <c r="C65" s="23"/>
      <c r="D65" s="24"/>
    </row>
    <row r="66" spans="1:4" x14ac:dyDescent="0.25">
      <c r="A66" s="127" t="s">
        <v>287</v>
      </c>
      <c r="B66" s="11">
        <v>99132.23</v>
      </c>
      <c r="C66" s="23">
        <f>46.2*B16</f>
        <v>99134.42</v>
      </c>
      <c r="D66" s="24"/>
    </row>
    <row r="67" spans="1:4" hidden="1" x14ac:dyDescent="0.25">
      <c r="A67" s="19" t="s">
        <v>288</v>
      </c>
      <c r="B67" s="11">
        <v>0</v>
      </c>
      <c r="C67" s="23"/>
      <c r="D67" s="24"/>
    </row>
    <row r="68" spans="1:4" x14ac:dyDescent="0.25">
      <c r="A68" s="129" t="s">
        <v>289</v>
      </c>
      <c r="B68" s="135">
        <f>1.35*B15</f>
        <v>6059.0700000000015</v>
      </c>
      <c r="C68" s="23"/>
      <c r="D68" s="24"/>
    </row>
    <row r="69" spans="1:4" x14ac:dyDescent="0.25">
      <c r="A69" s="103" t="s">
        <v>290</v>
      </c>
      <c r="B69" s="8">
        <f>5.06*B15</f>
        <v>22710.292000000001</v>
      </c>
      <c r="C69" s="23"/>
      <c r="D69" s="24"/>
    </row>
    <row r="70" spans="1:4" x14ac:dyDescent="0.25">
      <c r="A70" s="129" t="s">
        <v>291</v>
      </c>
      <c r="B70" s="11">
        <f>17.68*B15</f>
        <v>79351.376000000018</v>
      </c>
      <c r="C70" s="23"/>
      <c r="D70" s="24"/>
    </row>
    <row r="71" spans="1:4" x14ac:dyDescent="0.25">
      <c r="A71" s="129" t="s">
        <v>292</v>
      </c>
      <c r="B71" s="11">
        <f>1.04*7778.22142633142*1.12*1.0952</f>
        <v>9922.5912020064461</v>
      </c>
      <c r="C71" s="23"/>
      <c r="D71" s="24"/>
    </row>
    <row r="72" spans="1:4" x14ac:dyDescent="0.25">
      <c r="A72" s="129" t="s">
        <v>293</v>
      </c>
      <c r="B72" s="11">
        <f>25761.15*1.0952</f>
        <v>28213.61148</v>
      </c>
      <c r="C72" s="23"/>
      <c r="D72" s="24"/>
    </row>
    <row r="73" spans="1:4" ht="63" x14ac:dyDescent="0.25">
      <c r="A73" s="136" t="s">
        <v>294</v>
      </c>
      <c r="B73" s="121">
        <f>SUM(B74:B74)</f>
        <v>93256.320000000007</v>
      </c>
      <c r="C73" s="23"/>
      <c r="D73" s="24"/>
    </row>
    <row r="74" spans="1:4" x14ac:dyDescent="0.25">
      <c r="A74" s="129" t="s">
        <v>295</v>
      </c>
      <c r="B74" s="11">
        <v>93256.320000000007</v>
      </c>
      <c r="C74" s="23">
        <f>33.08*B15</f>
        <v>148469.65600000002</v>
      </c>
      <c r="D74" s="24"/>
    </row>
    <row r="75" spans="1:4" s="4" customFormat="1" x14ac:dyDescent="0.25">
      <c r="A75" s="133" t="s">
        <v>296</v>
      </c>
      <c r="B75" s="121">
        <f>SUM(B76:B79)</f>
        <v>110938.41277513368</v>
      </c>
      <c r="C75" s="23"/>
      <c r="D75" s="24"/>
    </row>
    <row r="76" spans="1:4" x14ac:dyDescent="0.25">
      <c r="A76" s="137" t="s">
        <v>297</v>
      </c>
      <c r="B76" s="11">
        <f>63317*1.0952</f>
        <v>69344.778399999996</v>
      </c>
      <c r="C76" s="23"/>
      <c r="D76" s="24"/>
    </row>
    <row r="77" spans="1:4" ht="23.25" customHeight="1" x14ac:dyDescent="0.25">
      <c r="A77" s="137" t="s">
        <v>298</v>
      </c>
      <c r="B77" s="11">
        <f>B26/1.2*30%</f>
        <v>12037.1075</v>
      </c>
      <c r="C77" s="23"/>
      <c r="D77" s="24"/>
    </row>
    <row r="78" spans="1:4" x14ac:dyDescent="0.25">
      <c r="A78" s="138" t="s">
        <v>299</v>
      </c>
      <c r="B78" s="11">
        <f>12687.06+7415.71</f>
        <v>20102.77</v>
      </c>
      <c r="C78" s="23"/>
      <c r="D78" s="24"/>
    </row>
    <row r="79" spans="1:4" x14ac:dyDescent="0.25">
      <c r="A79" s="138" t="s">
        <v>300</v>
      </c>
      <c r="B79" s="135">
        <f>'[4]32тарифы'!D173*B13*1.12*1.01</f>
        <v>9453.7568751336858</v>
      </c>
      <c r="C79" s="23"/>
      <c r="D79" s="24"/>
    </row>
    <row r="80" spans="1:4" x14ac:dyDescent="0.25">
      <c r="A80" s="233" t="s">
        <v>301</v>
      </c>
      <c r="B80" s="14">
        <f>B32+B40+B44+B64+B73+B75</f>
        <v>898815.58595913579</v>
      </c>
      <c r="C80" s="23"/>
      <c r="D80" s="24"/>
    </row>
    <row r="81" spans="1:4" x14ac:dyDescent="0.25">
      <c r="A81" s="139" t="s">
        <v>302</v>
      </c>
      <c r="B81" s="11">
        <f>B80*0.03</f>
        <v>26964.467578774074</v>
      </c>
      <c r="C81" s="23"/>
      <c r="D81" s="24"/>
    </row>
    <row r="82" spans="1:4" s="18" customFormat="1" x14ac:dyDescent="0.25">
      <c r="A82" s="140" t="s">
        <v>303</v>
      </c>
      <c r="B82" s="121">
        <f>B80+B81</f>
        <v>925780.05353790987</v>
      </c>
      <c r="C82" s="23"/>
      <c r="D82" s="24"/>
    </row>
    <row r="83" spans="1:4" ht="16.5" thickBot="1" x14ac:dyDescent="0.3">
      <c r="A83" s="141" t="s">
        <v>304</v>
      </c>
      <c r="B83" s="142">
        <f>B82*0.2</f>
        <v>185156.010707582</v>
      </c>
      <c r="C83" s="23"/>
      <c r="D83" s="24"/>
    </row>
    <row r="84" spans="1:4" s="4" customFormat="1" ht="16.5" thickBot="1" x14ac:dyDescent="0.3">
      <c r="A84" s="42" t="s">
        <v>305</v>
      </c>
      <c r="B84" s="46">
        <f>B82+B83</f>
        <v>1110936.0642454918</v>
      </c>
      <c r="C84" s="40"/>
      <c r="D84" s="41"/>
    </row>
    <row r="85" spans="1:4" s="4" customFormat="1" ht="16.5" thickBot="1" x14ac:dyDescent="0.3">
      <c r="A85" s="42" t="s">
        <v>306</v>
      </c>
      <c r="B85" s="46">
        <f>B10+B24+B26+B28+B29-B84</f>
        <v>-371257.93424549175</v>
      </c>
      <c r="C85" s="43"/>
      <c r="D85" s="43"/>
    </row>
    <row r="86" spans="1:4" s="4" customFormat="1" ht="16.5" hidden="1" thickBot="1" x14ac:dyDescent="0.3">
      <c r="A86" s="44" t="s">
        <v>307</v>
      </c>
      <c r="B86" s="46"/>
      <c r="C86" s="43"/>
      <c r="D86" s="43"/>
    </row>
    <row r="87" spans="1:4" s="4" customFormat="1" ht="16.5" hidden="1" thickBot="1" x14ac:dyDescent="0.3">
      <c r="A87" s="143" t="s">
        <v>308</v>
      </c>
      <c r="B87" s="46"/>
      <c r="C87" s="43"/>
      <c r="D87" s="43"/>
    </row>
    <row r="88" spans="1:4" x14ac:dyDescent="0.25">
      <c r="B88" s="130"/>
    </row>
    <row r="89" spans="1:4" ht="10.5" customHeight="1" x14ac:dyDescent="0.25">
      <c r="A89" s="49"/>
    </row>
    <row r="90" spans="1:4" x14ac:dyDescent="0.25">
      <c r="A90" s="286" t="s">
        <v>542</v>
      </c>
      <c r="B90" s="286"/>
    </row>
    <row r="91" spans="1:4" x14ac:dyDescent="0.25">
      <c r="A91" s="49"/>
    </row>
    <row r="92" spans="1:4" hidden="1" x14ac:dyDescent="0.25">
      <c r="A92" s="292" t="s">
        <v>399</v>
      </c>
      <c r="B92" s="292"/>
      <c r="C92" s="51"/>
    </row>
    <row r="93" spans="1:4" x14ac:dyDescent="0.25">
      <c r="A93"/>
      <c r="B93"/>
      <c r="C93"/>
      <c r="D93"/>
    </row>
  </sheetData>
  <autoFilter ref="A31:G87" xr:uid="{00000000-0009-0000-0000-000020000000}">
    <filterColumn colId="1">
      <filters>
        <filter val="1 110 936,06"/>
        <filter val="110 938,41"/>
        <filter val="12 014,09"/>
        <filter val="12 037,11"/>
        <filter val="185 156,01"/>
        <filter val="20 102,77"/>
        <filter val="22 710,29"/>
        <filter val="230 162,90"/>
        <filter val="245 389,17"/>
        <filter val="26 964,47"/>
        <filter val="28 213,61"/>
        <filter val="3 505,44"/>
        <filter val="30 190,05"/>
        <filter val="32 254,83"/>
        <filter val="335 013,69"/>
        <filter val="35 849,00"/>
        <filter val="-371 257,93"/>
        <filter val="39 354,44"/>
        <filter val="4 200,00"/>
        <filter val="6 059,07"/>
        <filter val="69 344,78"/>
        <filter val="74 863,55"/>
        <filter val="79 351,38"/>
        <filter val="8 133,61"/>
        <filter val="85,06"/>
        <filter val="898 815,59"/>
        <filter val="9 453,76"/>
        <filter val="9 922,59"/>
        <filter val="92 836,70"/>
        <filter val="925 780,05"/>
        <filter val="93 256,32"/>
        <filter val="99 132,23"/>
      </filters>
    </filterColumn>
  </autoFilter>
  <mergeCells count="9">
    <mergeCell ref="D8:D9"/>
    <mergeCell ref="A90:B90"/>
    <mergeCell ref="A92:B92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2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>
    <pageSetUpPr fitToPage="1"/>
  </sheetPr>
  <dimension ref="A1:G95"/>
  <sheetViews>
    <sheetView view="pageBreakPreview" topLeftCell="A63" zoomScale="85" zoomScaleNormal="100" zoomScaleSheetLayoutView="85" workbookViewId="0">
      <selection activeCell="A24" sqref="A24:B24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85</v>
      </c>
      <c r="B5" s="184"/>
      <c r="C5" s="3"/>
      <c r="D5" s="3"/>
    </row>
    <row r="6" spans="1:4" ht="5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3.5" thickBot="1" x14ac:dyDescent="0.25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-1632155.7991833785</v>
      </c>
      <c r="C10" s="226"/>
      <c r="D10" s="226"/>
    </row>
    <row r="11" spans="1:4" s="227" customFormat="1" ht="16.5" hidden="1" thickBot="1" x14ac:dyDescent="0.3">
      <c r="A11" s="228" t="s">
        <v>232</v>
      </c>
      <c r="B11" s="229"/>
      <c r="C11" s="230"/>
      <c r="D11" s="230"/>
    </row>
    <row r="12" spans="1:4" ht="15.75" x14ac:dyDescent="0.25">
      <c r="A12" s="231" t="s">
        <v>233</v>
      </c>
      <c r="B12" s="210"/>
      <c r="C12" s="5" t="s">
        <v>234</v>
      </c>
      <c r="D12" s="6" t="s">
        <v>234</v>
      </c>
    </row>
    <row r="13" spans="1:4" ht="15.75" hidden="1" x14ac:dyDescent="0.25">
      <c r="A13" s="107" t="s">
        <v>235</v>
      </c>
      <c r="B13" s="8">
        <v>2587.6999999999998</v>
      </c>
      <c r="C13" s="9" t="s">
        <v>234</v>
      </c>
      <c r="D13" s="10" t="s">
        <v>234</v>
      </c>
    </row>
    <row r="14" spans="1:4" ht="15.75" hidden="1" x14ac:dyDescent="0.25">
      <c r="A14" s="107" t="s">
        <v>236</v>
      </c>
      <c r="B14" s="8">
        <v>688.41</v>
      </c>
      <c r="C14" s="9"/>
      <c r="D14" s="10"/>
    </row>
    <row r="15" spans="1:4" ht="15.75" hidden="1" x14ac:dyDescent="0.25">
      <c r="A15" s="123" t="s">
        <v>237</v>
      </c>
      <c r="B15" s="11">
        <f>B13+B14</f>
        <v>3276.1099999999997</v>
      </c>
      <c r="C15" s="9"/>
      <c r="D15" s="10"/>
    </row>
    <row r="16" spans="1:4" ht="15.75" hidden="1" x14ac:dyDescent="0.25">
      <c r="A16" s="123" t="s">
        <v>238</v>
      </c>
      <c r="B16" s="11">
        <f>1698.8+900/3</f>
        <v>1998.8</v>
      </c>
      <c r="C16" s="9" t="s">
        <v>234</v>
      </c>
      <c r="D16" s="10" t="s">
        <v>234</v>
      </c>
    </row>
    <row r="17" spans="1:7" ht="15.75" hidden="1" x14ac:dyDescent="0.25">
      <c r="A17" s="107" t="s">
        <v>239</v>
      </c>
      <c r="B17" s="8">
        <v>0</v>
      </c>
      <c r="C17" s="9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107" t="s">
        <v>240</v>
      </c>
      <c r="B18" s="8">
        <v>883</v>
      </c>
      <c r="C18" s="9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107" t="s">
        <v>241</v>
      </c>
      <c r="B19" s="8">
        <v>0</v>
      </c>
      <c r="C19" s="9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107" t="s">
        <v>242</v>
      </c>
      <c r="B20" s="8">
        <v>1147.9000000000001</v>
      </c>
      <c r="C20" s="9"/>
      <c r="D20" s="10"/>
      <c r="E20" s="3"/>
      <c r="F20" s="3"/>
      <c r="G20" s="3"/>
    </row>
    <row r="21" spans="1:7" ht="15.75" hidden="1" x14ac:dyDescent="0.25">
      <c r="A21" s="107" t="s">
        <v>243</v>
      </c>
      <c r="B21" s="8">
        <v>0</v>
      </c>
      <c r="C21" s="9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107" t="s">
        <v>244</v>
      </c>
      <c r="B22" s="8">
        <v>135</v>
      </c>
      <c r="C22" s="9"/>
      <c r="D22" s="10"/>
      <c r="E22" s="3"/>
      <c r="F22" s="3"/>
      <c r="G22" s="3"/>
    </row>
    <row r="23" spans="1:7" ht="15.75" x14ac:dyDescent="0.25">
      <c r="A23" s="123"/>
      <c r="B23" s="11"/>
      <c r="C23" s="9"/>
      <c r="D23" s="10"/>
      <c r="E23" s="3"/>
      <c r="F23" s="3"/>
      <c r="G23" s="3"/>
    </row>
    <row r="24" spans="1:7" ht="15.75" x14ac:dyDescent="0.25">
      <c r="A24" s="259" t="s">
        <v>317</v>
      </c>
      <c r="B24" s="255">
        <f>VLOOKUP(A5,мкд!W:X,2,FALSE)</f>
        <v>539293.31999999995</v>
      </c>
      <c r="C24" s="9"/>
      <c r="D24" s="10"/>
      <c r="E24" s="194">
        <v>17.39</v>
      </c>
      <c r="F24" s="3"/>
      <c r="G24" s="3"/>
    </row>
    <row r="25" spans="1:7" ht="15.75" x14ac:dyDescent="0.25">
      <c r="A25" s="124" t="s">
        <v>318</v>
      </c>
      <c r="B25" s="14">
        <f>VLOOKUP(A5,мкд!W:Y,3,FALSE)</f>
        <v>536977.69000000006</v>
      </c>
      <c r="C25" s="9"/>
      <c r="D25" s="10"/>
      <c r="E25" s="3"/>
      <c r="F25" s="3"/>
      <c r="G25" s="3"/>
    </row>
    <row r="26" spans="1:7" ht="15.75" x14ac:dyDescent="0.25">
      <c r="A26" s="124" t="s">
        <v>348</v>
      </c>
      <c r="B26" s="14">
        <v>143655.31</v>
      </c>
      <c r="C26" s="9"/>
      <c r="D26" s="10"/>
      <c r="E26" s="3"/>
      <c r="F26" s="3"/>
      <c r="G26" s="3"/>
    </row>
    <row r="27" spans="1:7" ht="15.75" x14ac:dyDescent="0.25">
      <c r="A27" s="124" t="s">
        <v>349</v>
      </c>
      <c r="B27" s="14">
        <v>143624.59</v>
      </c>
      <c r="C27" s="9"/>
      <c r="D27" s="10"/>
      <c r="E27" s="3"/>
      <c r="F27" s="3"/>
      <c r="G27" s="3"/>
    </row>
    <row r="28" spans="1:7" ht="15.75" x14ac:dyDescent="0.25">
      <c r="A28" s="124" t="s">
        <v>391</v>
      </c>
      <c r="B28" s="14">
        <v>7154.31</v>
      </c>
      <c r="C28" s="9"/>
      <c r="D28" s="10"/>
      <c r="E28" s="3"/>
      <c r="F28" s="3"/>
      <c r="G28" s="3"/>
    </row>
    <row r="29" spans="1:7" ht="15.75" hidden="1" x14ac:dyDescent="0.25">
      <c r="A29" s="124" t="s">
        <v>250</v>
      </c>
      <c r="B29" s="11">
        <v>0</v>
      </c>
      <c r="C29" s="9"/>
      <c r="D29" s="10"/>
      <c r="E29" s="3"/>
      <c r="F29" s="3"/>
      <c r="G29" s="3"/>
    </row>
    <row r="30" spans="1:7" ht="15.75" x14ac:dyDescent="0.25">
      <c r="A30" s="125"/>
      <c r="B30" s="11"/>
      <c r="C30" s="9"/>
      <c r="D30" s="10"/>
      <c r="E30" s="3"/>
      <c r="F30" s="3"/>
      <c r="G30" s="3"/>
    </row>
    <row r="31" spans="1:7" ht="15.75" x14ac:dyDescent="0.25">
      <c r="A31" s="232" t="s">
        <v>251</v>
      </c>
      <c r="B31" s="11"/>
      <c r="C31" s="9"/>
      <c r="D31" s="10"/>
      <c r="E31" s="3"/>
      <c r="F31" s="3"/>
      <c r="G31" s="3"/>
    </row>
    <row r="32" spans="1:7" s="18" customFormat="1" ht="31.5" x14ac:dyDescent="0.25">
      <c r="A32" s="126" t="s">
        <v>252</v>
      </c>
      <c r="B32" s="121">
        <f>SUM(B33:B41)</f>
        <v>212419.03999999998</v>
      </c>
      <c r="C32" s="9"/>
      <c r="D32" s="10"/>
      <c r="E32" s="17">
        <f>(B86-B24-B26)/1.2/1.03</f>
        <v>415071.64215479075</v>
      </c>
      <c r="F32" s="17" t="e">
        <f>(#REF!-#REF!-#REF!)/1.2/1.03</f>
        <v>#REF!</v>
      </c>
      <c r="G32" s="17" t="e">
        <f>(#REF!-#REF!-#REF!)/1.2/1.03</f>
        <v>#REF!</v>
      </c>
    </row>
    <row r="33" spans="1:7" ht="15.75" x14ac:dyDescent="0.25">
      <c r="A33" s="127" t="s">
        <v>253</v>
      </c>
      <c r="B33" s="11">
        <v>93678.22</v>
      </c>
      <c r="C33" s="9"/>
      <c r="D33" s="10">
        <v>55816.84</v>
      </c>
      <c r="E33" s="3"/>
      <c r="F33" s="3"/>
      <c r="G33" s="3"/>
    </row>
    <row r="34" spans="1:7" ht="15.75" x14ac:dyDescent="0.25">
      <c r="A34" s="150" t="s">
        <v>338</v>
      </c>
      <c r="B34" s="11">
        <v>26171.18</v>
      </c>
      <c r="C34" s="9"/>
      <c r="D34" s="10">
        <v>0</v>
      </c>
      <c r="E34" s="3"/>
      <c r="F34" s="3"/>
      <c r="G34" s="3"/>
    </row>
    <row r="35" spans="1:7" ht="15.75" hidden="1" x14ac:dyDescent="0.25">
      <c r="A35" s="150" t="s">
        <v>429</v>
      </c>
      <c r="B35" s="11">
        <v>0</v>
      </c>
      <c r="C35" s="9"/>
      <c r="D35" s="10">
        <v>0</v>
      </c>
      <c r="E35" s="3"/>
      <c r="F35" s="3"/>
      <c r="G35" s="3"/>
    </row>
    <row r="36" spans="1:7" ht="15.75" x14ac:dyDescent="0.25">
      <c r="A36" s="150" t="s">
        <v>392</v>
      </c>
      <c r="B36" s="11">
        <v>46437.89</v>
      </c>
      <c r="C36" s="9" t="s">
        <v>234</v>
      </c>
      <c r="D36" s="10">
        <v>0</v>
      </c>
      <c r="E36" s="3"/>
      <c r="F36" s="3"/>
      <c r="G36" s="3"/>
    </row>
    <row r="37" spans="1:7" ht="15.75" hidden="1" x14ac:dyDescent="0.25">
      <c r="A37" s="150" t="s">
        <v>429</v>
      </c>
      <c r="B37" s="11">
        <v>0</v>
      </c>
      <c r="C37" s="9"/>
      <c r="D37" s="10">
        <v>0</v>
      </c>
      <c r="E37" s="3"/>
      <c r="F37" s="3"/>
      <c r="G37" s="3"/>
    </row>
    <row r="38" spans="1:7" ht="15.75" x14ac:dyDescent="0.25">
      <c r="A38" s="150" t="s">
        <v>255</v>
      </c>
      <c r="B38" s="11">
        <v>32898.36</v>
      </c>
      <c r="C38" s="9"/>
      <c r="D38" s="10">
        <v>0</v>
      </c>
      <c r="E38" s="3"/>
      <c r="F38" s="3"/>
      <c r="G38" s="3"/>
    </row>
    <row r="39" spans="1:7" ht="15.75" x14ac:dyDescent="0.25">
      <c r="A39" s="71" t="s">
        <v>256</v>
      </c>
      <c r="B39" s="11">
        <v>13233.39</v>
      </c>
      <c r="C39" s="9"/>
      <c r="D39" s="10">
        <v>0</v>
      </c>
      <c r="E39" s="3"/>
      <c r="F39" s="3"/>
      <c r="G39" s="3"/>
    </row>
    <row r="40" spans="1:7" ht="15.75" hidden="1" x14ac:dyDescent="0.25">
      <c r="A40" s="71" t="s">
        <v>436</v>
      </c>
      <c r="B40" s="11"/>
      <c r="C40" s="9"/>
      <c r="D40" s="10"/>
      <c r="E40" s="3"/>
      <c r="F40" s="3"/>
      <c r="G40" s="3"/>
    </row>
    <row r="41" spans="1:7" ht="15.75" hidden="1" x14ac:dyDescent="0.25">
      <c r="A41" s="71" t="s">
        <v>426</v>
      </c>
      <c r="B41" s="11"/>
      <c r="C41" s="9"/>
      <c r="D41" s="10"/>
      <c r="E41" s="3"/>
      <c r="F41" s="3"/>
      <c r="G41" s="3"/>
    </row>
    <row r="42" spans="1:7" s="18" customFormat="1" ht="47.25" x14ac:dyDescent="0.25">
      <c r="A42" s="126" t="s">
        <v>393</v>
      </c>
      <c r="B42" s="121">
        <f>SUM(B43:B45)</f>
        <v>197973.97525281797</v>
      </c>
      <c r="C42" s="9"/>
      <c r="D42" s="10"/>
      <c r="E42" s="17"/>
      <c r="F42" s="17"/>
      <c r="G42" s="17"/>
    </row>
    <row r="43" spans="1:7" ht="15.75" hidden="1" x14ac:dyDescent="0.25">
      <c r="A43" s="19" t="s">
        <v>262</v>
      </c>
      <c r="B43" s="11"/>
      <c r="C43" s="23"/>
      <c r="D43" s="24"/>
      <c r="E43" s="3"/>
      <c r="F43" s="3"/>
      <c r="G43" s="3"/>
    </row>
    <row r="44" spans="1:7" ht="15.75" x14ac:dyDescent="0.25">
      <c r="A44" s="19" t="s">
        <v>263</v>
      </c>
      <c r="B44" s="11">
        <v>170031.36000000004</v>
      </c>
      <c r="C44" s="23"/>
      <c r="D44" s="24"/>
      <c r="E44" s="3"/>
      <c r="F44" s="3"/>
      <c r="G44" s="3"/>
    </row>
    <row r="45" spans="1:7" ht="15.75" x14ac:dyDescent="0.25">
      <c r="A45" s="129" t="s">
        <v>264</v>
      </c>
      <c r="B45" s="11">
        <f>1.04*21903.9406383339*1.12*1.0952</f>
        <v>27942.615252817912</v>
      </c>
      <c r="C45" s="23"/>
      <c r="D45" s="24"/>
      <c r="E45" s="3"/>
      <c r="F45" s="3"/>
      <c r="G45" s="3"/>
    </row>
    <row r="46" spans="1:7" s="4" customFormat="1" ht="15.75" x14ac:dyDescent="0.25">
      <c r="A46" s="126" t="s">
        <v>265</v>
      </c>
      <c r="B46" s="121">
        <f>SUM(B47:B65)</f>
        <v>76900.73</v>
      </c>
      <c r="C46" s="9"/>
      <c r="D46" s="10"/>
    </row>
    <row r="47" spans="1:7" ht="15.75" x14ac:dyDescent="0.25">
      <c r="A47" s="127" t="s">
        <v>324</v>
      </c>
      <c r="B47" s="11">
        <v>3708.6</v>
      </c>
      <c r="C47" s="9"/>
      <c r="D47" s="10"/>
      <c r="E47" s="3" t="s">
        <v>267</v>
      </c>
      <c r="F47" s="3"/>
      <c r="G47" s="3"/>
    </row>
    <row r="48" spans="1:7" ht="15.75" x14ac:dyDescent="0.25">
      <c r="A48" s="127" t="s">
        <v>315</v>
      </c>
      <c r="B48" s="11">
        <v>4503.24</v>
      </c>
      <c r="C48" s="9"/>
      <c r="D48" s="10"/>
      <c r="E48" s="3" t="s">
        <v>269</v>
      </c>
      <c r="F48" s="3"/>
      <c r="G48" s="3"/>
    </row>
    <row r="49" spans="1:5" ht="15.75" hidden="1" x14ac:dyDescent="0.25">
      <c r="A49" s="95" t="s">
        <v>270</v>
      </c>
      <c r="B49" s="11"/>
      <c r="C49" s="9"/>
      <c r="D49" s="10"/>
      <c r="E49" s="3"/>
    </row>
    <row r="50" spans="1:5" ht="15.75" hidden="1" x14ac:dyDescent="0.25">
      <c r="A50" s="131" t="s">
        <v>373</v>
      </c>
      <c r="B50" s="8"/>
      <c r="C50" s="9"/>
      <c r="D50" s="10"/>
      <c r="E50" s="3"/>
    </row>
    <row r="51" spans="1:5" ht="15.75" x14ac:dyDescent="0.25">
      <c r="A51" s="95" t="s">
        <v>373</v>
      </c>
      <c r="B51" s="11">
        <v>8133.61</v>
      </c>
      <c r="C51" s="9"/>
      <c r="D51" s="10"/>
      <c r="E51" s="3"/>
    </row>
    <row r="52" spans="1:5" ht="15.75" x14ac:dyDescent="0.25">
      <c r="A52" s="95" t="s">
        <v>314</v>
      </c>
      <c r="B52" s="11">
        <f>VLOOKUP(A5,'[2]МКД 33'!$AI:$FO,137,FALSE)</f>
        <v>20338.560000000001</v>
      </c>
      <c r="C52" s="9"/>
      <c r="D52" s="10">
        <v>105.14</v>
      </c>
      <c r="E52" s="3"/>
    </row>
    <row r="53" spans="1:5" ht="15.75" x14ac:dyDescent="0.25">
      <c r="A53" s="131" t="s">
        <v>281</v>
      </c>
      <c r="B53" s="8">
        <v>237.17</v>
      </c>
      <c r="C53" s="9">
        <v>0</v>
      </c>
      <c r="D53" s="10">
        <v>522.99</v>
      </c>
      <c r="E53" s="3"/>
    </row>
    <row r="54" spans="1:5" ht="15.75" hidden="1" x14ac:dyDescent="0.25">
      <c r="A54" s="111" t="s">
        <v>353</v>
      </c>
      <c r="B54" s="8"/>
      <c r="C54" s="9">
        <v>1</v>
      </c>
      <c r="D54" s="28">
        <v>657.53</v>
      </c>
      <c r="E54" s="3"/>
    </row>
    <row r="55" spans="1:5" ht="15.75" hidden="1" x14ac:dyDescent="0.25">
      <c r="A55" s="95" t="s">
        <v>345</v>
      </c>
      <c r="B55" s="11"/>
      <c r="C55" s="9"/>
      <c r="D55" s="28"/>
      <c r="E55" s="3"/>
    </row>
    <row r="56" spans="1:5" ht="15.75" x14ac:dyDescent="0.25">
      <c r="A56" s="95" t="s">
        <v>520</v>
      </c>
      <c r="B56" s="11">
        <v>4200</v>
      </c>
      <c r="C56" s="9">
        <v>0</v>
      </c>
      <c r="D56" s="10">
        <f>10695.76/1.18</f>
        <v>9064.203389830509</v>
      </c>
      <c r="E56" s="3"/>
    </row>
    <row r="57" spans="1:5" ht="15.75" hidden="1" x14ac:dyDescent="0.25">
      <c r="A57" s="95" t="s">
        <v>346</v>
      </c>
      <c r="B57" s="11"/>
      <c r="C57" s="9">
        <v>0</v>
      </c>
      <c r="D57" s="10">
        <f>2300/1.18</f>
        <v>1949.1525423728815</v>
      </c>
      <c r="E57" s="3"/>
    </row>
    <row r="58" spans="1:5" ht="15.75" hidden="1" x14ac:dyDescent="0.25">
      <c r="A58" s="131" t="s">
        <v>403</v>
      </c>
      <c r="B58" s="8"/>
      <c r="C58" s="9">
        <v>0</v>
      </c>
      <c r="D58" s="10">
        <v>0</v>
      </c>
      <c r="E58" s="130">
        <f>B80+B46+699.9+10702.09</f>
        <v>100124.21999999999</v>
      </c>
    </row>
    <row r="59" spans="1:5" ht="15.75" hidden="1" x14ac:dyDescent="0.25">
      <c r="A59" s="131" t="s">
        <v>278</v>
      </c>
      <c r="B59" s="8">
        <f>B13*'[4]32тарифы'!D184</f>
        <v>0</v>
      </c>
      <c r="C59" s="9"/>
      <c r="D59" s="10"/>
      <c r="E59" s="3"/>
    </row>
    <row r="60" spans="1:5" ht="15.75" hidden="1" x14ac:dyDescent="0.25">
      <c r="A60" s="110" t="s">
        <v>346</v>
      </c>
      <c r="B60" s="8"/>
      <c r="C60" s="9"/>
      <c r="D60" s="10"/>
      <c r="E60" s="3"/>
    </row>
    <row r="61" spans="1:5" ht="15.75" hidden="1" x14ac:dyDescent="0.25">
      <c r="A61" s="110" t="s">
        <v>280</v>
      </c>
      <c r="B61" s="8"/>
      <c r="C61" s="9"/>
      <c r="D61" s="10">
        <v>0</v>
      </c>
      <c r="E61" s="3"/>
    </row>
    <row r="62" spans="1:5" ht="15.75" hidden="1" x14ac:dyDescent="0.25">
      <c r="A62" s="127" t="s">
        <v>437</v>
      </c>
      <c r="B62" s="11"/>
      <c r="C62" s="9"/>
      <c r="D62" s="10">
        <v>0</v>
      </c>
      <c r="E62" s="3"/>
    </row>
    <row r="63" spans="1:5" ht="15.75" x14ac:dyDescent="0.25">
      <c r="A63" s="127" t="s">
        <v>325</v>
      </c>
      <c r="B63" s="132">
        <v>19756.61</v>
      </c>
      <c r="C63" s="30">
        <v>1</v>
      </c>
      <c r="D63" s="10">
        <v>0</v>
      </c>
      <c r="E63" s="3"/>
    </row>
    <row r="64" spans="1:5" ht="15.75" hidden="1" x14ac:dyDescent="0.25">
      <c r="A64" s="19" t="s">
        <v>283</v>
      </c>
      <c r="B64" s="132"/>
      <c r="C64" s="30">
        <v>64</v>
      </c>
      <c r="D64" s="10">
        <v>2</v>
      </c>
      <c r="E64" s="3">
        <v>1</v>
      </c>
    </row>
    <row r="65" spans="1:4" ht="15.75" x14ac:dyDescent="0.25">
      <c r="A65" s="71" t="s">
        <v>518</v>
      </c>
      <c r="B65" s="132">
        <v>16022.94</v>
      </c>
      <c r="C65" s="32"/>
      <c r="D65" s="24">
        <v>0</v>
      </c>
    </row>
    <row r="66" spans="1:4" s="4" customFormat="1" ht="15.75" x14ac:dyDescent="0.25">
      <c r="A66" s="133" t="s">
        <v>285</v>
      </c>
      <c r="B66" s="121">
        <f>SUM(B67:B74)</f>
        <v>244575.77896165426</v>
      </c>
      <c r="C66" s="23"/>
      <c r="D66" s="24"/>
    </row>
    <row r="67" spans="1:4" ht="15.75" hidden="1" x14ac:dyDescent="0.25">
      <c r="A67" s="110" t="s">
        <v>286</v>
      </c>
      <c r="B67" s="8"/>
      <c r="C67" s="23"/>
      <c r="D67" s="24"/>
    </row>
    <row r="68" spans="1:4" ht="15.75" x14ac:dyDescent="0.25">
      <c r="A68" s="127" t="s">
        <v>287</v>
      </c>
      <c r="B68" s="135">
        <f>76237*1.04*1.12*1.0952</f>
        <v>97254.699243519994</v>
      </c>
      <c r="C68" s="23"/>
      <c r="D68" s="24"/>
    </row>
    <row r="69" spans="1:4" ht="15.75" hidden="1" x14ac:dyDescent="0.25">
      <c r="A69" s="110" t="s">
        <v>288</v>
      </c>
      <c r="B69" s="8"/>
      <c r="C69" s="23"/>
      <c r="D69" s="24"/>
    </row>
    <row r="70" spans="1:4" ht="15.75" x14ac:dyDescent="0.25">
      <c r="A70" s="129" t="s">
        <v>289</v>
      </c>
      <c r="B70" s="11">
        <f>1.35*B15</f>
        <v>4422.7484999999997</v>
      </c>
      <c r="C70" s="23"/>
      <c r="D70" s="24"/>
    </row>
    <row r="71" spans="1:4" ht="15.75" x14ac:dyDescent="0.25">
      <c r="A71" s="129" t="s">
        <v>290</v>
      </c>
      <c r="B71" s="11">
        <f>5.06*B15</f>
        <v>16577.116599999998</v>
      </c>
      <c r="C71" s="23"/>
      <c r="D71" s="24"/>
    </row>
    <row r="72" spans="1:4" ht="15.75" x14ac:dyDescent="0.25">
      <c r="A72" s="129" t="s">
        <v>291</v>
      </c>
      <c r="B72" s="11">
        <f>17.68*B15</f>
        <v>57921.624799999991</v>
      </c>
      <c r="C72" s="23"/>
      <c r="D72" s="24"/>
    </row>
    <row r="73" spans="1:4" ht="15.75" x14ac:dyDescent="0.25">
      <c r="A73" s="129" t="s">
        <v>292</v>
      </c>
      <c r="B73" s="11">
        <f>1.04*5677.62332271704*1.12*1.0952</f>
        <v>7242.8813918286451</v>
      </c>
      <c r="C73" s="23"/>
      <c r="D73" s="24"/>
    </row>
    <row r="74" spans="1:4" ht="15.75" x14ac:dyDescent="0.25">
      <c r="A74" s="129" t="s">
        <v>293</v>
      </c>
      <c r="B74" s="11">
        <f>1.04*47940.1408524423*1.12*1.0952</f>
        <v>61156.708426305639</v>
      </c>
      <c r="C74" s="23"/>
      <c r="D74" s="24"/>
    </row>
    <row r="75" spans="1:4" ht="63" x14ac:dyDescent="0.25">
      <c r="A75" s="136" t="s">
        <v>294</v>
      </c>
      <c r="B75" s="121">
        <f>SUM(B76:B76)</f>
        <v>95676.672000000006</v>
      </c>
      <c r="C75" s="23"/>
      <c r="D75" s="24"/>
    </row>
    <row r="76" spans="1:4" ht="15.75" x14ac:dyDescent="0.25">
      <c r="A76" s="129" t="s">
        <v>295</v>
      </c>
      <c r="B76" s="11">
        <f>78000*1.12*1.0952</f>
        <v>95676.672000000006</v>
      </c>
      <c r="C76" s="23"/>
      <c r="D76" s="24"/>
    </row>
    <row r="77" spans="1:4" s="4" customFormat="1" ht="15.75" x14ac:dyDescent="0.25">
      <c r="A77" s="133" t="s">
        <v>296</v>
      </c>
      <c r="B77" s="121">
        <f>SUM(B78:B81)</f>
        <v>140072.88121539951</v>
      </c>
      <c r="C77" s="23"/>
      <c r="D77" s="24"/>
    </row>
    <row r="78" spans="1:4" ht="15.75" x14ac:dyDescent="0.25">
      <c r="A78" s="137" t="s">
        <v>297</v>
      </c>
      <c r="B78" s="11">
        <f>'[4]32тарифы'!D170*B15*1.12*1.0952</f>
        <v>86592.388814203339</v>
      </c>
      <c r="C78" s="23"/>
      <c r="D78" s="24"/>
    </row>
    <row r="79" spans="1:4" ht="25.5" customHeight="1" x14ac:dyDescent="0.25">
      <c r="A79" s="137" t="s">
        <v>298</v>
      </c>
      <c r="B79" s="135">
        <f>B26/1.2*30%</f>
        <v>35913.827499999999</v>
      </c>
      <c r="C79" s="23"/>
      <c r="D79" s="24"/>
    </row>
    <row r="80" spans="1:4" ht="15.75" x14ac:dyDescent="0.25">
      <c r="A80" s="138" t="s">
        <v>299</v>
      </c>
      <c r="B80" s="11">
        <f>5772+6049.5</f>
        <v>11821.5</v>
      </c>
      <c r="C80" s="23"/>
      <c r="D80" s="24"/>
    </row>
    <row r="81" spans="1:4" ht="15.75" x14ac:dyDescent="0.25">
      <c r="A81" s="138" t="s">
        <v>300</v>
      </c>
      <c r="B81" s="11">
        <f>'[4]32тарифы'!D173*B13*1.12*1.01</f>
        <v>5745.1649011961754</v>
      </c>
      <c r="C81" s="23"/>
      <c r="D81" s="24"/>
    </row>
    <row r="82" spans="1:4" ht="15.75" x14ac:dyDescent="0.25">
      <c r="A82" s="233" t="s">
        <v>301</v>
      </c>
      <c r="B82" s="14">
        <f>B32+B42+B46+B66+B75+B77</f>
        <v>967619.07742987166</v>
      </c>
      <c r="C82" s="23"/>
      <c r="D82" s="24"/>
    </row>
    <row r="83" spans="1:4" ht="15.75" x14ac:dyDescent="0.25">
      <c r="A83" s="139" t="s">
        <v>302</v>
      </c>
      <c r="B83" s="11">
        <f>B82*0.03</f>
        <v>29028.572322896147</v>
      </c>
      <c r="C83" s="23"/>
      <c r="D83" s="24"/>
    </row>
    <row r="84" spans="1:4" s="18" customFormat="1" ht="15.75" x14ac:dyDescent="0.25">
      <c r="A84" s="140" t="s">
        <v>303</v>
      </c>
      <c r="B84" s="121">
        <f>B82+B83</f>
        <v>996647.64975276776</v>
      </c>
      <c r="C84" s="23"/>
      <c r="D84" s="24"/>
    </row>
    <row r="85" spans="1:4" ht="16.5" thickBot="1" x14ac:dyDescent="0.3">
      <c r="A85" s="141" t="s">
        <v>304</v>
      </c>
      <c r="B85" s="142">
        <f>B84*0.2</f>
        <v>199329.52995055355</v>
      </c>
      <c r="C85" s="23"/>
      <c r="D85" s="24"/>
    </row>
    <row r="86" spans="1:4" s="4" customFormat="1" ht="16.5" thickBot="1" x14ac:dyDescent="0.3">
      <c r="A86" s="38" t="s">
        <v>305</v>
      </c>
      <c r="B86" s="46">
        <f>B84+B85</f>
        <v>1195977.1797033213</v>
      </c>
      <c r="C86" s="40"/>
      <c r="D86" s="41"/>
    </row>
    <row r="87" spans="1:4" s="4" customFormat="1" ht="16.5" thickBot="1" x14ac:dyDescent="0.3">
      <c r="A87" s="42" t="s">
        <v>306</v>
      </c>
      <c r="B87" s="46">
        <f>B10+B24+B26+B28+B29-B86</f>
        <v>-2138030.0388866998</v>
      </c>
      <c r="C87" s="43"/>
      <c r="D87" s="43"/>
    </row>
    <row r="88" spans="1:4" s="4" customFormat="1" ht="16.5" hidden="1" thickBot="1" x14ac:dyDescent="0.3">
      <c r="A88" s="44" t="s">
        <v>307</v>
      </c>
      <c r="B88" s="46"/>
      <c r="C88" s="43"/>
      <c r="D88" s="43"/>
    </row>
    <row r="89" spans="1:4" s="4" customFormat="1" ht="16.5" hidden="1" thickBot="1" x14ac:dyDescent="0.3">
      <c r="A89" s="143" t="s">
        <v>308</v>
      </c>
      <c r="B89" s="46"/>
      <c r="C89" s="43"/>
      <c r="D89" s="43"/>
    </row>
    <row r="90" spans="1:4" ht="15.75" x14ac:dyDescent="0.25">
      <c r="A90" s="3"/>
      <c r="B90" s="130"/>
      <c r="C90" s="3"/>
      <c r="D90" s="3"/>
    </row>
    <row r="91" spans="1:4" ht="10.5" customHeight="1" x14ac:dyDescent="0.25">
      <c r="A91" s="49"/>
      <c r="B91" s="3"/>
      <c r="C91" s="3"/>
      <c r="D91" s="3"/>
    </row>
    <row r="92" spans="1:4" ht="15.75" x14ac:dyDescent="0.25">
      <c r="A92" s="286" t="s">
        <v>542</v>
      </c>
      <c r="B92" s="286"/>
      <c r="C92" s="3"/>
      <c r="D92" s="3"/>
    </row>
    <row r="93" spans="1:4" ht="15.75" x14ac:dyDescent="0.25">
      <c r="A93" s="49"/>
      <c r="B93" s="3"/>
      <c r="C93" s="3"/>
      <c r="D93" s="3"/>
    </row>
    <row r="94" spans="1:4" ht="15.75" hidden="1" x14ac:dyDescent="0.25">
      <c r="A94" s="292" t="s">
        <v>399</v>
      </c>
      <c r="B94" s="292"/>
      <c r="C94" s="51"/>
      <c r="D94" s="3"/>
    </row>
    <row r="95" spans="1:4" ht="15.75" x14ac:dyDescent="0.25">
      <c r="A95" s="3"/>
      <c r="B95" s="3"/>
      <c r="C95" s="3"/>
      <c r="D95" s="3"/>
    </row>
  </sheetData>
  <autoFilter ref="A31:G89" xr:uid="{00000000-0009-0000-0000-000021000000}">
    <filterColumn colId="1">
      <filters>
        <filter val="1 195 977,18"/>
        <filter val="11 821,50"/>
        <filter val="13 233,39"/>
        <filter val="140 072,88"/>
        <filter val="16 022,94"/>
        <filter val="16 577,12"/>
        <filter val="170 031,36"/>
        <filter val="19 756,61"/>
        <filter val="197 973,98"/>
        <filter val="199 329,53"/>
        <filter val="-2 138 030,04"/>
        <filter val="20 338,56"/>
        <filter val="212 419,04"/>
        <filter val="237,17"/>
        <filter val="244 575,78"/>
        <filter val="26 171,18"/>
        <filter val="27 942,62"/>
        <filter val="29 028,57"/>
        <filter val="3 708,60"/>
        <filter val="32 898,36"/>
        <filter val="35 913,83"/>
        <filter val="4 200,00"/>
        <filter val="4 422,75"/>
        <filter val="4 503,24"/>
        <filter val="46 437,89"/>
        <filter val="5 745,16"/>
        <filter val="57 921,62"/>
        <filter val="61 156,71"/>
        <filter val="7 242,88"/>
        <filter val="76 900,73"/>
        <filter val="8 133,61"/>
        <filter val="86 592,39"/>
        <filter val="93 678,22"/>
        <filter val="95 676,67"/>
        <filter val="967 619,08"/>
        <filter val="97 254,70"/>
        <filter val="996 647,65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8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filterMode="1">
    <pageSetUpPr fitToPage="1"/>
  </sheetPr>
  <dimension ref="A1:G98"/>
  <sheetViews>
    <sheetView view="pageBreakPreview" topLeftCell="A69" zoomScale="70" zoomScaleNormal="100" zoomScaleSheetLayoutView="70" workbookViewId="0">
      <selection activeCell="A24" sqref="A24:B24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86</v>
      </c>
      <c r="B5" s="184"/>
      <c r="C5" s="3"/>
      <c r="D5" s="3"/>
    </row>
    <row r="6" spans="1:4" ht="5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3.5" thickBot="1" x14ac:dyDescent="0.25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-1323258.890604509</v>
      </c>
      <c r="C10" s="226"/>
      <c r="D10" s="226"/>
    </row>
    <row r="11" spans="1:4" s="227" customFormat="1" ht="16.5" hidden="1" thickBot="1" x14ac:dyDescent="0.3">
      <c r="A11" s="228" t="s">
        <v>232</v>
      </c>
      <c r="B11" s="229"/>
      <c r="C11" s="230"/>
      <c r="D11" s="230"/>
    </row>
    <row r="12" spans="1:4" ht="15.75" x14ac:dyDescent="0.25">
      <c r="A12" s="231" t="s">
        <v>233</v>
      </c>
      <c r="B12" s="210"/>
      <c r="C12" s="5" t="s">
        <v>234</v>
      </c>
      <c r="D12" s="6" t="s">
        <v>234</v>
      </c>
    </row>
    <row r="13" spans="1:4" ht="15.75" hidden="1" x14ac:dyDescent="0.25">
      <c r="A13" s="107" t="s">
        <v>235</v>
      </c>
      <c r="B13" s="8">
        <v>2578.8000000000002</v>
      </c>
      <c r="C13" s="9" t="s">
        <v>234</v>
      </c>
      <c r="D13" s="10" t="s">
        <v>234</v>
      </c>
    </row>
    <row r="14" spans="1:4" ht="15.75" hidden="1" x14ac:dyDescent="0.25">
      <c r="A14" s="107" t="s">
        <v>236</v>
      </c>
      <c r="B14" s="8">
        <v>757.3</v>
      </c>
      <c r="C14" s="9"/>
      <c r="D14" s="10"/>
    </row>
    <row r="15" spans="1:4" ht="15.75" hidden="1" x14ac:dyDescent="0.25">
      <c r="A15" s="123" t="s">
        <v>237</v>
      </c>
      <c r="B15" s="11">
        <f>B13+B14</f>
        <v>3336.1000000000004</v>
      </c>
      <c r="C15" s="9"/>
      <c r="D15" s="10"/>
    </row>
    <row r="16" spans="1:4" ht="15.75" hidden="1" x14ac:dyDescent="0.25">
      <c r="A16" s="123" t="s">
        <v>238</v>
      </c>
      <c r="B16" s="11">
        <f>1678+1525.84/3</f>
        <v>2186.6133333333332</v>
      </c>
      <c r="C16" s="9" t="s">
        <v>234</v>
      </c>
      <c r="D16" s="10" t="s">
        <v>234</v>
      </c>
    </row>
    <row r="17" spans="1:7" ht="15.75" hidden="1" x14ac:dyDescent="0.25">
      <c r="A17" s="107" t="s">
        <v>239</v>
      </c>
      <c r="B17" s="8">
        <v>0</v>
      </c>
      <c r="C17" s="9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107" t="s">
        <v>240</v>
      </c>
      <c r="B18" s="8">
        <v>891.9</v>
      </c>
      <c r="C18" s="9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107" t="s">
        <v>241</v>
      </c>
      <c r="B19" s="8">
        <v>0</v>
      </c>
      <c r="C19" s="9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107" t="s">
        <v>242</v>
      </c>
      <c r="B20" s="8">
        <v>1159.9000000000001</v>
      </c>
      <c r="C20" s="9"/>
      <c r="D20" s="10"/>
      <c r="E20" s="3"/>
      <c r="F20" s="3"/>
      <c r="G20" s="3"/>
    </row>
    <row r="21" spans="1:7" ht="15.75" hidden="1" x14ac:dyDescent="0.25">
      <c r="A21" s="107" t="s">
        <v>243</v>
      </c>
      <c r="B21" s="8">
        <v>0</v>
      </c>
      <c r="C21" s="9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107" t="s">
        <v>244</v>
      </c>
      <c r="B22" s="8">
        <v>145</v>
      </c>
      <c r="C22" s="9"/>
      <c r="D22" s="10"/>
      <c r="E22" s="3"/>
      <c r="F22" s="3"/>
      <c r="G22" s="3"/>
    </row>
    <row r="23" spans="1:7" ht="15.75" x14ac:dyDescent="0.25">
      <c r="A23" s="123"/>
      <c r="B23" s="11"/>
      <c r="C23" s="9"/>
      <c r="D23" s="10"/>
      <c r="E23" s="3">
        <v>10</v>
      </c>
      <c r="F23" s="3">
        <v>2</v>
      </c>
      <c r="G23" s="3"/>
    </row>
    <row r="24" spans="1:7" ht="15.75" x14ac:dyDescent="0.25">
      <c r="A24" s="259" t="s">
        <v>317</v>
      </c>
      <c r="B24" s="255">
        <f>VLOOKUP(A5,мкд!W:X,2,FALSE)</f>
        <v>575396.46</v>
      </c>
      <c r="C24" s="9"/>
      <c r="D24" s="10"/>
      <c r="E24" s="194">
        <v>16.41</v>
      </c>
      <c r="F24" s="195">
        <v>18.369353999999998</v>
      </c>
      <c r="G24" s="3"/>
    </row>
    <row r="25" spans="1:7" ht="15.75" x14ac:dyDescent="0.25">
      <c r="A25" s="124" t="s">
        <v>318</v>
      </c>
      <c r="B25" s="14">
        <f>VLOOKUP(A5,мкд!W:Y,3,FALSE)</f>
        <v>569206.44999999995</v>
      </c>
      <c r="C25" s="9"/>
      <c r="D25" s="10"/>
      <c r="E25" s="3"/>
      <c r="F25" s="3"/>
      <c r="G25" s="3"/>
    </row>
    <row r="26" spans="1:7" ht="15.75" x14ac:dyDescent="0.25">
      <c r="A26" s="124" t="s">
        <v>348</v>
      </c>
      <c r="B26" s="14">
        <v>167969.14</v>
      </c>
      <c r="C26" s="9"/>
      <c r="D26" s="10"/>
      <c r="E26" s="3"/>
      <c r="F26" s="3"/>
      <c r="G26" s="3"/>
    </row>
    <row r="27" spans="1:7" ht="15.75" x14ac:dyDescent="0.25">
      <c r="A27" s="124" t="s">
        <v>349</v>
      </c>
      <c r="B27" s="14">
        <v>100811.36</v>
      </c>
      <c r="C27" s="9"/>
      <c r="D27" s="10"/>
      <c r="E27" s="3"/>
      <c r="F27" s="3"/>
      <c r="G27" s="3"/>
    </row>
    <row r="28" spans="1:7" ht="15.75" x14ac:dyDescent="0.25">
      <c r="A28" s="124" t="s">
        <v>391</v>
      </c>
      <c r="B28" s="14">
        <v>9097.23</v>
      </c>
      <c r="C28" s="9"/>
      <c r="D28" s="10"/>
      <c r="E28" s="3"/>
      <c r="F28" s="3"/>
      <c r="G28" s="3"/>
    </row>
    <row r="29" spans="1:7" ht="15.75" hidden="1" x14ac:dyDescent="0.25">
      <c r="A29" s="124" t="s">
        <v>250</v>
      </c>
      <c r="B29" s="11"/>
      <c r="C29" s="9"/>
      <c r="D29" s="10"/>
      <c r="E29" s="3"/>
      <c r="F29" s="3"/>
      <c r="G29" s="3"/>
    </row>
    <row r="30" spans="1:7" ht="15.75" x14ac:dyDescent="0.25">
      <c r="A30" s="125"/>
      <c r="B30" s="11"/>
      <c r="C30" s="9"/>
      <c r="D30" s="10"/>
      <c r="E30" s="3"/>
      <c r="F30" s="3"/>
      <c r="G30" s="3"/>
    </row>
    <row r="31" spans="1:7" ht="15.75" x14ac:dyDescent="0.25">
      <c r="A31" s="232" t="s">
        <v>251</v>
      </c>
      <c r="B31" s="11"/>
      <c r="C31" s="9"/>
      <c r="D31" s="10"/>
      <c r="E31" s="3"/>
      <c r="F31" s="3"/>
      <c r="G31" s="3"/>
    </row>
    <row r="32" spans="1:7" s="18" customFormat="1" ht="31.5" x14ac:dyDescent="0.25">
      <c r="A32" s="126" t="s">
        <v>252</v>
      </c>
      <c r="B32" s="121">
        <f>SUM(B33:B44)</f>
        <v>143799.25</v>
      </c>
      <c r="C32" s="9"/>
      <c r="D32" s="10"/>
      <c r="E32" s="17">
        <f>(B89-B24-B26)/1.2/1.03</f>
        <v>205091.92658463409</v>
      </c>
      <c r="F32" s="17" t="e">
        <f>(#REF!-#REF!-#REF!)/1.2/1.03</f>
        <v>#REF!</v>
      </c>
      <c r="G32" s="17" t="e">
        <f>(#REF!-#REF!-#REF!)/1.2/1.03</f>
        <v>#REF!</v>
      </c>
    </row>
    <row r="33" spans="1:7" ht="15.75" x14ac:dyDescent="0.25">
      <c r="A33" s="127" t="s">
        <v>253</v>
      </c>
      <c r="B33" s="11">
        <v>63907.429999999993</v>
      </c>
      <c r="C33" s="9"/>
      <c r="D33" s="10">
        <v>55221.9</v>
      </c>
      <c r="E33" s="3"/>
      <c r="F33" s="3"/>
      <c r="G33" s="3"/>
    </row>
    <row r="34" spans="1:7" ht="15.75" hidden="1" x14ac:dyDescent="0.25">
      <c r="A34" s="128" t="s">
        <v>433</v>
      </c>
      <c r="B34" s="8"/>
      <c r="C34" s="9"/>
      <c r="D34" s="10">
        <v>0</v>
      </c>
      <c r="E34" s="3"/>
      <c r="F34" s="3"/>
      <c r="G34" s="3"/>
    </row>
    <row r="35" spans="1:7" ht="15.75" hidden="1" x14ac:dyDescent="0.25">
      <c r="A35" s="128" t="s">
        <v>256</v>
      </c>
      <c r="B35" s="8"/>
      <c r="C35" s="9"/>
      <c r="D35" s="10">
        <v>0</v>
      </c>
      <c r="E35" s="3"/>
      <c r="F35" s="3"/>
      <c r="G35" s="3"/>
    </row>
    <row r="36" spans="1:7" ht="15.75" hidden="1" x14ac:dyDescent="0.25">
      <c r="A36" s="127" t="s">
        <v>255</v>
      </c>
      <c r="B36" s="11"/>
      <c r="C36" s="9" t="s">
        <v>234</v>
      </c>
      <c r="D36" s="10">
        <v>0</v>
      </c>
      <c r="E36" s="3"/>
      <c r="F36" s="3"/>
      <c r="G36" s="3"/>
    </row>
    <row r="37" spans="1:7" ht="15.75" hidden="1" x14ac:dyDescent="0.25">
      <c r="A37" s="127" t="s">
        <v>392</v>
      </c>
      <c r="B37" s="11"/>
      <c r="C37" s="9"/>
      <c r="D37" s="10">
        <v>0</v>
      </c>
      <c r="E37" s="3"/>
      <c r="F37" s="3"/>
      <c r="G37" s="3"/>
    </row>
    <row r="38" spans="1:7" ht="15.75" hidden="1" x14ac:dyDescent="0.25">
      <c r="A38" s="127" t="s">
        <v>258</v>
      </c>
      <c r="B38" s="11"/>
      <c r="C38" s="9"/>
      <c r="D38" s="10">
        <v>0</v>
      </c>
      <c r="E38" s="3"/>
      <c r="F38" s="3"/>
      <c r="G38" s="3"/>
    </row>
    <row r="39" spans="1:7" ht="15.75" hidden="1" x14ac:dyDescent="0.25">
      <c r="A39" s="110" t="s">
        <v>259</v>
      </c>
      <c r="B39" s="8"/>
      <c r="C39" s="9"/>
      <c r="D39" s="10">
        <v>0</v>
      </c>
      <c r="E39" s="3"/>
      <c r="F39" s="3"/>
      <c r="G39" s="3"/>
    </row>
    <row r="40" spans="1:7" ht="15.75" x14ac:dyDescent="0.25">
      <c r="A40" s="19" t="s">
        <v>255</v>
      </c>
      <c r="B40" s="11">
        <v>29051.71</v>
      </c>
      <c r="C40" s="9"/>
      <c r="D40" s="10"/>
      <c r="E40" s="3"/>
      <c r="F40" s="3"/>
      <c r="G40" s="3"/>
    </row>
    <row r="41" spans="1:7" ht="15.75" hidden="1" x14ac:dyDescent="0.25">
      <c r="A41" s="110" t="s">
        <v>256</v>
      </c>
      <c r="B41" s="8"/>
      <c r="C41" s="9"/>
      <c r="D41" s="10"/>
      <c r="E41" s="3"/>
      <c r="F41" s="3"/>
      <c r="G41" s="3"/>
    </row>
    <row r="42" spans="1:7" ht="15.75" x14ac:dyDescent="0.25">
      <c r="A42" s="19" t="s">
        <v>392</v>
      </c>
      <c r="B42" s="11">
        <v>50840.11</v>
      </c>
      <c r="C42" s="9"/>
      <c r="D42" s="10"/>
      <c r="E42" s="3"/>
      <c r="F42" s="3"/>
      <c r="G42" s="3"/>
    </row>
    <row r="43" spans="1:7" ht="15.75" hidden="1" x14ac:dyDescent="0.25">
      <c r="A43" s="19" t="s">
        <v>310</v>
      </c>
      <c r="B43" s="11"/>
      <c r="C43" s="9"/>
      <c r="D43" s="10"/>
      <c r="E43" s="3"/>
      <c r="F43" s="3"/>
      <c r="G43" s="3"/>
    </row>
    <row r="44" spans="1:7" ht="15.75" hidden="1" x14ac:dyDescent="0.25">
      <c r="A44" s="19" t="s">
        <v>431</v>
      </c>
      <c r="B44" s="11"/>
      <c r="C44" s="9"/>
      <c r="D44" s="10"/>
      <c r="E44" s="3"/>
      <c r="F44" s="3"/>
      <c r="G44" s="3"/>
    </row>
    <row r="45" spans="1:7" s="18" customFormat="1" ht="47.25" x14ac:dyDescent="0.25">
      <c r="A45" s="126" t="s">
        <v>393</v>
      </c>
      <c r="B45" s="121">
        <f>SUM(B46:B48)</f>
        <v>89587.859102068498</v>
      </c>
      <c r="C45" s="9"/>
      <c r="D45" s="10"/>
      <c r="E45" s="17"/>
      <c r="F45" s="17"/>
      <c r="G45" s="17"/>
    </row>
    <row r="46" spans="1:7" ht="15.75" x14ac:dyDescent="0.25">
      <c r="A46" s="19" t="s">
        <v>262</v>
      </c>
      <c r="B46" s="11">
        <v>2397.42</v>
      </c>
      <c r="C46" s="23"/>
      <c r="D46" s="24"/>
      <c r="E46" s="3"/>
      <c r="F46" s="3"/>
      <c r="G46" s="3"/>
    </row>
    <row r="47" spans="1:7" ht="15.75" x14ac:dyDescent="0.25">
      <c r="A47" s="19" t="s">
        <v>263</v>
      </c>
      <c r="B47" s="11">
        <v>67557.999999999985</v>
      </c>
      <c r="C47" s="23"/>
      <c r="D47" s="24"/>
      <c r="E47" s="3"/>
      <c r="F47" s="3"/>
      <c r="G47" s="3"/>
    </row>
    <row r="48" spans="1:7" ht="15.75" x14ac:dyDescent="0.25">
      <c r="A48" s="129" t="s">
        <v>264</v>
      </c>
      <c r="B48" s="11">
        <f>'[4]32тарифы'!D163*B15*1.0952+221.32*1.12</f>
        <v>19632.439102068507</v>
      </c>
      <c r="C48" s="23"/>
      <c r="D48" s="24"/>
      <c r="E48" s="3"/>
      <c r="F48" s="3"/>
      <c r="G48" s="3"/>
    </row>
    <row r="49" spans="1:7" s="4" customFormat="1" ht="15.75" x14ac:dyDescent="0.25">
      <c r="A49" s="126" t="s">
        <v>265</v>
      </c>
      <c r="B49" s="121">
        <f>SUM(B50:B68)</f>
        <v>73942.920000000013</v>
      </c>
      <c r="C49" s="9"/>
      <c r="D49" s="10"/>
    </row>
    <row r="50" spans="1:7" ht="15.75" x14ac:dyDescent="0.25">
      <c r="A50" s="127" t="s">
        <v>324</v>
      </c>
      <c r="B50" s="11">
        <v>3746.04</v>
      </c>
      <c r="C50" s="9"/>
      <c r="D50" s="10"/>
      <c r="E50" s="3" t="s">
        <v>267</v>
      </c>
      <c r="F50" s="3"/>
      <c r="G50" s="3"/>
    </row>
    <row r="51" spans="1:7" ht="15.75" x14ac:dyDescent="0.25">
      <c r="A51" s="127" t="s">
        <v>315</v>
      </c>
      <c r="B51" s="11">
        <v>4548.72</v>
      </c>
      <c r="C51" s="9"/>
      <c r="D51" s="10"/>
      <c r="E51" s="3" t="s">
        <v>269</v>
      </c>
      <c r="F51" s="3"/>
      <c r="G51" s="3"/>
    </row>
    <row r="52" spans="1:7" ht="15.75" hidden="1" x14ac:dyDescent="0.25">
      <c r="A52" s="95" t="s">
        <v>360</v>
      </c>
      <c r="B52" s="11"/>
      <c r="C52" s="9"/>
      <c r="D52" s="10"/>
      <c r="E52" s="3"/>
    </row>
    <row r="53" spans="1:7" ht="15.75" hidden="1" x14ac:dyDescent="0.25">
      <c r="A53" s="131" t="s">
        <v>281</v>
      </c>
      <c r="B53" s="8"/>
      <c r="C53" s="9"/>
      <c r="D53" s="10"/>
      <c r="E53" s="3"/>
    </row>
    <row r="54" spans="1:7" ht="15.75" hidden="1" x14ac:dyDescent="0.25">
      <c r="A54" s="95" t="s">
        <v>434</v>
      </c>
      <c r="B54" s="11"/>
      <c r="C54" s="9"/>
      <c r="D54" s="10"/>
      <c r="E54" s="3"/>
    </row>
    <row r="55" spans="1:7" ht="15.75" x14ac:dyDescent="0.25">
      <c r="A55" s="95" t="s">
        <v>414</v>
      </c>
      <c r="B55" s="11">
        <f>VLOOKUP(A5,'[2]МКД 33'!$AI:$FO,137,FALSE)</f>
        <v>20338.560000000001</v>
      </c>
      <c r="C55" s="9"/>
      <c r="D55" s="10">
        <v>105.14</v>
      </c>
      <c r="E55" s="3"/>
    </row>
    <row r="56" spans="1:7" ht="15.75" hidden="1" x14ac:dyDescent="0.25">
      <c r="A56" s="131" t="s">
        <v>403</v>
      </c>
      <c r="B56" s="8"/>
      <c r="C56" s="9">
        <v>0</v>
      </c>
      <c r="D56" s="10">
        <v>522.99</v>
      </c>
      <c r="E56" s="3"/>
    </row>
    <row r="57" spans="1:7" ht="15.75" x14ac:dyDescent="0.25">
      <c r="A57" s="26" t="s">
        <v>353</v>
      </c>
      <c r="B57" s="11">
        <v>8133.61</v>
      </c>
      <c r="C57" s="9">
        <v>1</v>
      </c>
      <c r="D57" s="28">
        <v>657.53</v>
      </c>
      <c r="E57" s="3"/>
    </row>
    <row r="58" spans="1:7" ht="15.75" hidden="1" x14ac:dyDescent="0.25">
      <c r="A58" s="95" t="s">
        <v>403</v>
      </c>
      <c r="B58" s="11"/>
      <c r="C58" s="9"/>
      <c r="D58" s="28"/>
      <c r="E58" s="3"/>
    </row>
    <row r="59" spans="1:7" ht="15.75" hidden="1" x14ac:dyDescent="0.25">
      <c r="A59" s="95" t="s">
        <v>277</v>
      </c>
      <c r="B59" s="11"/>
      <c r="C59" s="9">
        <v>0</v>
      </c>
      <c r="D59" s="10">
        <f>10695.76/1.18</f>
        <v>9064.203389830509</v>
      </c>
      <c r="E59" s="3"/>
    </row>
    <row r="60" spans="1:7" ht="15.75" hidden="1" x14ac:dyDescent="0.25">
      <c r="A60" s="95" t="s">
        <v>314</v>
      </c>
      <c r="B60" s="11"/>
      <c r="C60" s="9">
        <v>0</v>
      </c>
      <c r="D60" s="10">
        <f>2300/1.18</f>
        <v>1949.1525423728815</v>
      </c>
      <c r="E60" s="3"/>
    </row>
    <row r="61" spans="1:7" ht="15.75" hidden="1" x14ac:dyDescent="0.25">
      <c r="A61" s="131" t="s">
        <v>409</v>
      </c>
      <c r="B61" s="8"/>
      <c r="C61" s="9">
        <v>0</v>
      </c>
      <c r="D61" s="10">
        <v>0</v>
      </c>
      <c r="E61" s="3"/>
    </row>
    <row r="62" spans="1:7" ht="15.75" hidden="1" x14ac:dyDescent="0.25">
      <c r="A62" s="95" t="s">
        <v>278</v>
      </c>
      <c r="B62" s="11">
        <f>B13*'[4]32тарифы'!D184</f>
        <v>0</v>
      </c>
      <c r="C62" s="9"/>
      <c r="D62" s="10"/>
      <c r="E62" s="3"/>
    </row>
    <row r="63" spans="1:7" ht="15.75" hidden="1" x14ac:dyDescent="0.25">
      <c r="A63" s="19" t="s">
        <v>373</v>
      </c>
      <c r="B63" s="11"/>
      <c r="C63" s="9"/>
      <c r="D63" s="10"/>
      <c r="E63" s="3"/>
    </row>
    <row r="64" spans="1:7" ht="15.75" hidden="1" x14ac:dyDescent="0.25">
      <c r="A64" s="19" t="s">
        <v>342</v>
      </c>
      <c r="B64" s="11"/>
      <c r="C64" s="9"/>
      <c r="D64" s="10">
        <v>0</v>
      </c>
      <c r="E64" s="130">
        <f>B83+B49-B62+647.52</f>
        <v>90727.820000000022</v>
      </c>
    </row>
    <row r="65" spans="1:5" ht="15.75" hidden="1" x14ac:dyDescent="0.25">
      <c r="A65" s="127" t="s">
        <v>344</v>
      </c>
      <c r="B65" s="11"/>
      <c r="C65" s="9"/>
      <c r="D65" s="10">
        <v>0</v>
      </c>
      <c r="E65" s="3"/>
    </row>
    <row r="66" spans="1:5" ht="15.75" x14ac:dyDescent="0.25">
      <c r="A66" s="127" t="s">
        <v>325</v>
      </c>
      <c r="B66" s="132">
        <v>32870.92</v>
      </c>
      <c r="C66" s="30">
        <v>1</v>
      </c>
      <c r="D66" s="10">
        <v>0</v>
      </c>
      <c r="E66" s="3"/>
    </row>
    <row r="67" spans="1:5" ht="15.75" x14ac:dyDescent="0.25">
      <c r="A67" s="110" t="s">
        <v>520</v>
      </c>
      <c r="B67" s="77">
        <v>4200</v>
      </c>
      <c r="C67" s="30">
        <v>64</v>
      </c>
      <c r="D67" s="10">
        <v>2</v>
      </c>
      <c r="E67" s="3">
        <v>1</v>
      </c>
    </row>
    <row r="68" spans="1:5" ht="15.75" x14ac:dyDescent="0.25">
      <c r="A68" s="19" t="s">
        <v>281</v>
      </c>
      <c r="B68" s="132">
        <v>105.07</v>
      </c>
      <c r="C68" s="32"/>
      <c r="D68" s="24">
        <v>0</v>
      </c>
    </row>
    <row r="69" spans="1:5" s="4" customFormat="1" ht="15.75" x14ac:dyDescent="0.25">
      <c r="A69" s="133" t="s">
        <v>285</v>
      </c>
      <c r="B69" s="121">
        <f>SUM(B70:B77)</f>
        <v>251040.26371294845</v>
      </c>
      <c r="C69" s="23"/>
      <c r="D69" s="24"/>
    </row>
    <row r="70" spans="1:5" ht="15.75" hidden="1" x14ac:dyDescent="0.25">
      <c r="A70" s="19" t="s">
        <v>286</v>
      </c>
      <c r="B70" s="11"/>
      <c r="C70" s="23"/>
      <c r="D70" s="24"/>
    </row>
    <row r="71" spans="1:5" ht="15.75" x14ac:dyDescent="0.25">
      <c r="A71" s="127" t="s">
        <v>287</v>
      </c>
      <c r="B71" s="135">
        <f>46.2*B16</f>
        <v>101021.53600000001</v>
      </c>
      <c r="C71" s="23"/>
      <c r="D71" s="24"/>
    </row>
    <row r="72" spans="1:5" ht="15.75" hidden="1" x14ac:dyDescent="0.25">
      <c r="A72" s="19" t="s">
        <v>288</v>
      </c>
      <c r="B72" s="11"/>
      <c r="C72" s="23"/>
      <c r="D72" s="24"/>
    </row>
    <row r="73" spans="1:5" ht="15.75" x14ac:dyDescent="0.25">
      <c r="A73" s="129" t="s">
        <v>289</v>
      </c>
      <c r="B73" s="11">
        <f>1.35*B15</f>
        <v>4503.7350000000006</v>
      </c>
      <c r="C73" s="23"/>
      <c r="D73" s="24"/>
    </row>
    <row r="74" spans="1:5" ht="15.75" x14ac:dyDescent="0.25">
      <c r="A74" s="129" t="s">
        <v>290</v>
      </c>
      <c r="B74" s="11">
        <f>5.06*B15</f>
        <v>16880.666000000001</v>
      </c>
      <c r="C74" s="23"/>
      <c r="D74" s="24"/>
    </row>
    <row r="75" spans="1:5" ht="15.75" x14ac:dyDescent="0.25">
      <c r="A75" s="129" t="s">
        <v>291</v>
      </c>
      <c r="B75" s="11">
        <f>17.68*B15</f>
        <v>58982.248000000007</v>
      </c>
      <c r="C75" s="23"/>
      <c r="D75" s="24"/>
    </row>
    <row r="76" spans="1:5" ht="15.75" x14ac:dyDescent="0.25">
      <c r="A76" s="129" t="s">
        <v>292</v>
      </c>
      <c r="B76" s="11">
        <f>1.04*5781.58827600915*1.12*1.0952</f>
        <v>7375.5083349703064</v>
      </c>
      <c r="C76" s="23"/>
      <c r="D76" s="24"/>
    </row>
    <row r="77" spans="1:5" ht="15.75" x14ac:dyDescent="0.25">
      <c r="A77" s="129" t="s">
        <v>293</v>
      </c>
      <c r="B77" s="11">
        <f>1.04*48817.9895967573*1.12*1.0952</f>
        <v>62276.570377978154</v>
      </c>
      <c r="C77" s="23"/>
      <c r="D77" s="24"/>
    </row>
    <row r="78" spans="1:5" ht="63" x14ac:dyDescent="0.25">
      <c r="A78" s="136" t="s">
        <v>294</v>
      </c>
      <c r="B78" s="121">
        <f>SUM(B79:B79)</f>
        <v>96117.030016000004</v>
      </c>
      <c r="C78" s="23"/>
      <c r="D78" s="24"/>
    </row>
    <row r="79" spans="1:5" ht="15.75" x14ac:dyDescent="0.25">
      <c r="A79" s="129" t="s">
        <v>295</v>
      </c>
      <c r="B79" s="11">
        <f>78359*1.12*1.0952</f>
        <v>96117.030016000004</v>
      </c>
      <c r="C79" s="23"/>
      <c r="D79" s="24"/>
    </row>
    <row r="80" spans="1:5" s="4" customFormat="1" ht="15.75" x14ac:dyDescent="0.25">
      <c r="A80" s="133" t="s">
        <v>296</v>
      </c>
      <c r="B80" s="121">
        <f>SUM(B81:B84)</f>
        <v>152033.08271801833</v>
      </c>
      <c r="C80" s="23"/>
      <c r="D80" s="24"/>
    </row>
    <row r="81" spans="1:4" ht="15.75" x14ac:dyDescent="0.25">
      <c r="A81" s="137" t="s">
        <v>297</v>
      </c>
      <c r="B81" s="11">
        <f>'[4]32тарифы'!D170*B15*1.12*1.0952</f>
        <v>88178.012436415083</v>
      </c>
      <c r="C81" s="23"/>
      <c r="D81" s="24"/>
    </row>
    <row r="82" spans="1:4" ht="15.75" x14ac:dyDescent="0.25">
      <c r="A82" s="137" t="s">
        <v>298</v>
      </c>
      <c r="B82" s="135">
        <f>B26/1.2*30%</f>
        <v>41992.285000000003</v>
      </c>
      <c r="C82" s="23"/>
      <c r="D82" s="24"/>
    </row>
    <row r="83" spans="1:4" ht="15.75" x14ac:dyDescent="0.25">
      <c r="A83" s="138" t="s">
        <v>299</v>
      </c>
      <c r="B83" s="11">
        <f>9081.43+7055.95</f>
        <v>16137.380000000001</v>
      </c>
      <c r="C83" s="23"/>
      <c r="D83" s="24"/>
    </row>
    <row r="84" spans="1:4" ht="15.75" x14ac:dyDescent="0.25">
      <c r="A84" s="138" t="s">
        <v>300</v>
      </c>
      <c r="B84" s="11">
        <f>'[4]32тарифы'!D173*B13*1.12*1.01</f>
        <v>5725.405281603239</v>
      </c>
      <c r="C84" s="23"/>
      <c r="D84" s="24"/>
    </row>
    <row r="85" spans="1:4" ht="15.75" x14ac:dyDescent="0.25">
      <c r="A85" s="233" t="s">
        <v>301</v>
      </c>
      <c r="B85" s="14">
        <f>B32+B45+B49+B69+B78+B80</f>
        <v>806520.40554903529</v>
      </c>
      <c r="C85" s="23"/>
      <c r="D85" s="24"/>
    </row>
    <row r="86" spans="1:4" ht="15.75" x14ac:dyDescent="0.25">
      <c r="A86" s="139" t="s">
        <v>302</v>
      </c>
      <c r="B86" s="11">
        <f>B85*0.03</f>
        <v>24195.612166471059</v>
      </c>
      <c r="C86" s="23"/>
      <c r="D86" s="24"/>
    </row>
    <row r="87" spans="1:4" s="18" customFormat="1" ht="15.75" x14ac:dyDescent="0.25">
      <c r="A87" s="140" t="s">
        <v>303</v>
      </c>
      <c r="B87" s="121">
        <f>B85+B86</f>
        <v>830716.01771550637</v>
      </c>
      <c r="C87" s="23"/>
      <c r="D87" s="24"/>
    </row>
    <row r="88" spans="1:4" ht="16.5" thickBot="1" x14ac:dyDescent="0.3">
      <c r="A88" s="141" t="s">
        <v>304</v>
      </c>
      <c r="B88" s="142">
        <f>B87*0.2</f>
        <v>166143.20354310129</v>
      </c>
      <c r="C88" s="23"/>
      <c r="D88" s="24"/>
    </row>
    <row r="89" spans="1:4" s="4" customFormat="1" ht="16.5" thickBot="1" x14ac:dyDescent="0.3">
      <c r="A89" s="38" t="s">
        <v>305</v>
      </c>
      <c r="B89" s="46">
        <f>B87+B88</f>
        <v>996859.22125860769</v>
      </c>
      <c r="C89" s="40"/>
      <c r="D89" s="41"/>
    </row>
    <row r="90" spans="1:4" s="4" customFormat="1" ht="16.5" thickBot="1" x14ac:dyDescent="0.3">
      <c r="A90" s="42" t="s">
        <v>306</v>
      </c>
      <c r="B90" s="46">
        <f>B10+B24+B26+B28+B29-B89</f>
        <v>-1567655.2818631167</v>
      </c>
      <c r="C90" s="43"/>
      <c r="D90" s="43"/>
    </row>
    <row r="91" spans="1:4" s="4" customFormat="1" ht="16.5" hidden="1" thickBot="1" x14ac:dyDescent="0.3">
      <c r="A91" s="44" t="s">
        <v>307</v>
      </c>
      <c r="B91" s="46"/>
      <c r="C91" s="43"/>
      <c r="D91" s="43"/>
    </row>
    <row r="92" spans="1:4" s="4" customFormat="1" ht="16.5" hidden="1" thickBot="1" x14ac:dyDescent="0.3">
      <c r="A92" s="143" t="s">
        <v>308</v>
      </c>
      <c r="B92" s="46"/>
      <c r="C92" s="43"/>
      <c r="D92" s="43"/>
    </row>
    <row r="93" spans="1:4" ht="15.75" x14ac:dyDescent="0.25">
      <c r="A93" s="3"/>
      <c r="B93" s="130"/>
      <c r="C93" s="3"/>
      <c r="D93" s="3"/>
    </row>
    <row r="94" spans="1:4" ht="10.5" customHeight="1" x14ac:dyDescent="0.25">
      <c r="A94" s="49"/>
      <c r="B94" s="3"/>
      <c r="C94" s="3"/>
      <c r="D94" s="3"/>
    </row>
    <row r="95" spans="1:4" ht="15.75" x14ac:dyDescent="0.25">
      <c r="A95" s="286" t="s">
        <v>542</v>
      </c>
      <c r="B95" s="286"/>
      <c r="C95" s="3"/>
      <c r="D95" s="3"/>
    </row>
    <row r="96" spans="1:4" ht="15.75" x14ac:dyDescent="0.25">
      <c r="A96" s="49"/>
      <c r="B96" s="3"/>
      <c r="C96" s="3"/>
      <c r="D96" s="3"/>
    </row>
    <row r="97" spans="1:4" ht="15.75" hidden="1" x14ac:dyDescent="0.25">
      <c r="A97" s="292" t="s">
        <v>399</v>
      </c>
      <c r="B97" s="292"/>
      <c r="C97" s="51"/>
      <c r="D97" s="3"/>
    </row>
    <row r="98" spans="1:4" ht="15.75" x14ac:dyDescent="0.25">
      <c r="A98" s="3"/>
      <c r="B98" s="3"/>
      <c r="C98" s="3"/>
      <c r="D98" s="3"/>
    </row>
  </sheetData>
  <autoFilter ref="A32:G92" xr:uid="{00000000-0009-0000-0000-000022000000}">
    <filterColumn colId="1">
      <filters>
        <filter val="-1 567 655,28"/>
        <filter val="101 021,54"/>
        <filter val="105,07"/>
        <filter val="152 033,08"/>
        <filter val="16 137,38"/>
        <filter val="16 880,67"/>
        <filter val="166 143,20"/>
        <filter val="19 632,44"/>
        <filter val="2 397,42"/>
        <filter val="20 338,56"/>
        <filter val="24 195,61"/>
        <filter val="251 040,26"/>
        <filter val="29 051,71"/>
        <filter val="3 746,04"/>
        <filter val="32 870,92"/>
        <filter val="4 200,00"/>
        <filter val="4 503,74"/>
        <filter val="4 548,72"/>
        <filter val="41 992,29"/>
        <filter val="5 725,41"/>
        <filter val="50 840,11"/>
        <filter val="58 982,25"/>
        <filter val="62 276,57"/>
        <filter val="63 907,43"/>
        <filter val="67 558,00"/>
        <filter val="7 375,51"/>
        <filter val="73 942,92"/>
        <filter val="8 133,61"/>
        <filter val="806 520,41"/>
        <filter val="830 716,02"/>
        <filter val="88 178,01"/>
        <filter val="89 587,86"/>
        <filter val="96 117,03"/>
        <filter val="996 859,22"/>
      </filters>
    </filterColumn>
  </autoFilter>
  <mergeCells count="9">
    <mergeCell ref="D8:D9"/>
    <mergeCell ref="A95:B95"/>
    <mergeCell ref="A97:B97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2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filterMode="1">
    <pageSetUpPr fitToPage="1"/>
  </sheetPr>
  <dimension ref="A1:G99"/>
  <sheetViews>
    <sheetView view="pageBreakPreview" topLeftCell="A70" zoomScale="75" zoomScaleNormal="100" zoomScaleSheetLayoutView="75" workbookViewId="0">
      <selection activeCell="A24" sqref="A24:B24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87</v>
      </c>
      <c r="B5" s="184"/>
      <c r="C5" s="3"/>
      <c r="D5" s="3"/>
    </row>
    <row r="6" spans="1:4" ht="5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3.5" thickBot="1" x14ac:dyDescent="0.25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-909005.02</v>
      </c>
      <c r="C10" s="226"/>
      <c r="D10" s="226"/>
    </row>
    <row r="11" spans="1:4" s="227" customFormat="1" ht="16.5" hidden="1" thickBot="1" x14ac:dyDescent="0.3">
      <c r="A11" s="228" t="s">
        <v>232</v>
      </c>
      <c r="B11" s="229"/>
      <c r="C11" s="230"/>
      <c r="D11" s="230"/>
    </row>
    <row r="12" spans="1:4" ht="15.75" x14ac:dyDescent="0.25">
      <c r="A12" s="231" t="s">
        <v>233</v>
      </c>
      <c r="B12" s="210"/>
      <c r="C12" s="5" t="s">
        <v>234</v>
      </c>
      <c r="D12" s="6" t="s">
        <v>234</v>
      </c>
    </row>
    <row r="13" spans="1:4" ht="15.75" hidden="1" x14ac:dyDescent="0.25">
      <c r="A13" s="107" t="s">
        <v>235</v>
      </c>
      <c r="B13" s="8">
        <v>2640.6</v>
      </c>
      <c r="C13" s="9" t="s">
        <v>234</v>
      </c>
      <c r="D13" s="10" t="s">
        <v>234</v>
      </c>
    </row>
    <row r="14" spans="1:4" ht="15.75" hidden="1" x14ac:dyDescent="0.25">
      <c r="A14" s="107" t="s">
        <v>236</v>
      </c>
      <c r="B14" s="8">
        <v>0</v>
      </c>
      <c r="C14" s="9"/>
      <c r="D14" s="10"/>
    </row>
    <row r="15" spans="1:4" ht="15.75" hidden="1" x14ac:dyDescent="0.25">
      <c r="A15" s="123" t="s">
        <v>237</v>
      </c>
      <c r="B15" s="11">
        <f>B13+B14</f>
        <v>2640.6</v>
      </c>
      <c r="C15" s="9"/>
      <c r="D15" s="10"/>
    </row>
    <row r="16" spans="1:4" ht="15.75" hidden="1" x14ac:dyDescent="0.25">
      <c r="A16" s="123" t="s">
        <v>238</v>
      </c>
      <c r="B16" s="11">
        <f>1462.5+1772.9/3</f>
        <v>2053.4666666666667</v>
      </c>
      <c r="C16" s="9" t="s">
        <v>234</v>
      </c>
      <c r="D16" s="10" t="s">
        <v>234</v>
      </c>
    </row>
    <row r="17" spans="1:7" ht="15.75" hidden="1" x14ac:dyDescent="0.25">
      <c r="A17" s="107" t="s">
        <v>239</v>
      </c>
      <c r="B17" s="8">
        <v>0</v>
      </c>
      <c r="C17" s="9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107" t="s">
        <v>240</v>
      </c>
      <c r="B18" s="8">
        <v>683.6</v>
      </c>
      <c r="C18" s="9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107" t="s">
        <v>241</v>
      </c>
      <c r="B19" s="8">
        <v>0</v>
      </c>
      <c r="C19" s="9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107" t="s">
        <v>242</v>
      </c>
      <c r="B20" s="8">
        <v>752</v>
      </c>
      <c r="C20" s="9"/>
      <c r="D20" s="10"/>
      <c r="E20" s="3"/>
      <c r="F20" s="3"/>
      <c r="G20" s="3"/>
    </row>
    <row r="21" spans="1:7" ht="15.75" hidden="1" x14ac:dyDescent="0.25">
      <c r="A21" s="107" t="s">
        <v>243</v>
      </c>
      <c r="B21" s="8">
        <v>0</v>
      </c>
      <c r="C21" s="9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107" t="s">
        <v>244</v>
      </c>
      <c r="B22" s="8">
        <v>154</v>
      </c>
      <c r="C22" s="9"/>
      <c r="D22" s="10"/>
      <c r="E22" s="3"/>
      <c r="F22" s="3"/>
      <c r="G22" s="3"/>
    </row>
    <row r="23" spans="1:7" ht="15.75" x14ac:dyDescent="0.25">
      <c r="A23" s="123"/>
      <c r="B23" s="11"/>
      <c r="C23" s="9"/>
      <c r="D23" s="10"/>
      <c r="E23" s="3">
        <v>10</v>
      </c>
      <c r="F23" s="3">
        <v>2</v>
      </c>
      <c r="G23" s="3"/>
    </row>
    <row r="24" spans="1:7" ht="15.75" x14ac:dyDescent="0.25">
      <c r="A24" s="259" t="s">
        <v>317</v>
      </c>
      <c r="B24" s="255">
        <f>VLOOKUP(A5,мкд!W:X,2,FALSE)</f>
        <v>555952.56000000006</v>
      </c>
      <c r="C24" s="9"/>
      <c r="D24" s="10"/>
      <c r="E24" s="194">
        <v>15.48</v>
      </c>
      <c r="F24" s="195">
        <v>17.328312</v>
      </c>
      <c r="G24" s="3"/>
    </row>
    <row r="25" spans="1:7" ht="15.75" x14ac:dyDescent="0.25">
      <c r="A25" s="124" t="s">
        <v>318</v>
      </c>
      <c r="B25" s="14">
        <f>VLOOKUP(A5,мкд!W:Y,3,FALSE)</f>
        <v>531665.53</v>
      </c>
      <c r="C25" s="9"/>
      <c r="D25" s="10"/>
      <c r="E25" s="3"/>
      <c r="F25" s="3"/>
      <c r="G25" s="3"/>
    </row>
    <row r="26" spans="1:7" ht="15.75" hidden="1" x14ac:dyDescent="0.25">
      <c r="A26" s="124" t="s">
        <v>348</v>
      </c>
      <c r="B26" s="14"/>
      <c r="C26" s="9"/>
      <c r="D26" s="10"/>
      <c r="E26" s="3"/>
      <c r="F26" s="3"/>
      <c r="G26" s="3"/>
    </row>
    <row r="27" spans="1:7" ht="15.75" hidden="1" x14ac:dyDescent="0.25">
      <c r="A27" s="124" t="s">
        <v>349</v>
      </c>
      <c r="B27" s="14"/>
      <c r="C27" s="9"/>
      <c r="D27" s="10"/>
      <c r="E27" s="3"/>
      <c r="F27" s="3"/>
      <c r="G27" s="3"/>
    </row>
    <row r="28" spans="1:7" ht="15.75" x14ac:dyDescent="0.25">
      <c r="A28" s="124" t="s">
        <v>391</v>
      </c>
      <c r="B28" s="14">
        <v>9097.23</v>
      </c>
      <c r="C28" s="9"/>
      <c r="D28" s="10"/>
      <c r="E28" s="3"/>
      <c r="F28" s="3"/>
      <c r="G28" s="3"/>
    </row>
    <row r="29" spans="1:7" ht="15.75" hidden="1" x14ac:dyDescent="0.25">
      <c r="A29" s="124" t="s">
        <v>250</v>
      </c>
      <c r="B29" s="11"/>
      <c r="C29" s="9"/>
      <c r="D29" s="10"/>
      <c r="E29" s="3"/>
      <c r="F29" s="3"/>
      <c r="G29" s="3"/>
    </row>
    <row r="30" spans="1:7" ht="15.75" x14ac:dyDescent="0.25">
      <c r="A30" s="125"/>
      <c r="B30" s="11"/>
      <c r="C30" s="9"/>
      <c r="D30" s="10"/>
      <c r="E30" s="3"/>
      <c r="F30" s="3"/>
      <c r="G30" s="3"/>
    </row>
    <row r="31" spans="1:7" ht="15.75" x14ac:dyDescent="0.25">
      <c r="A31" s="232" t="s">
        <v>251</v>
      </c>
      <c r="B31" s="11"/>
      <c r="C31" s="9"/>
      <c r="D31" s="10"/>
      <c r="E31" s="3"/>
      <c r="F31" s="3"/>
      <c r="G31" s="3"/>
    </row>
    <row r="32" spans="1:7" s="18" customFormat="1" ht="31.5" x14ac:dyDescent="0.25">
      <c r="A32" s="126" t="s">
        <v>252</v>
      </c>
      <c r="B32" s="121">
        <f>SUM(B33:B45)</f>
        <v>106164.04999999999</v>
      </c>
      <c r="C32" s="9"/>
      <c r="D32" s="10"/>
      <c r="E32" s="17">
        <f>(B90-B24-B26)/1.2/1.03</f>
        <v>209618.56646418161</v>
      </c>
      <c r="F32" s="17" t="e">
        <f>(#REF!-#REF!-#REF!)/1.2/1.03</f>
        <v>#REF!</v>
      </c>
      <c r="G32" s="17" t="e">
        <f>(#REF!-#REF!-#REF!)/1.2/1.03</f>
        <v>#REF!</v>
      </c>
    </row>
    <row r="33" spans="1:7" s="18" customFormat="1" ht="15.75" x14ac:dyDescent="0.25">
      <c r="A33" s="127" t="s">
        <v>255</v>
      </c>
      <c r="B33" s="11">
        <v>17514.769999999997</v>
      </c>
      <c r="C33" s="9"/>
      <c r="D33" s="10"/>
      <c r="E33" s="17"/>
      <c r="F33" s="17"/>
      <c r="G33" s="17"/>
    </row>
    <row r="34" spans="1:7" s="18" customFormat="1" ht="15.75" hidden="1" x14ac:dyDescent="0.25">
      <c r="A34" s="128" t="s">
        <v>256</v>
      </c>
      <c r="B34" s="121"/>
      <c r="C34" s="9"/>
      <c r="D34" s="10"/>
      <c r="E34" s="17"/>
      <c r="F34" s="17"/>
      <c r="G34" s="17"/>
    </row>
    <row r="35" spans="1:7" s="18" customFormat="1" ht="15.75" x14ac:dyDescent="0.25">
      <c r="A35" s="128" t="s">
        <v>392</v>
      </c>
      <c r="B35" s="11">
        <v>18898.189999999999</v>
      </c>
      <c r="C35" s="9"/>
      <c r="D35" s="10"/>
      <c r="E35" s="17"/>
      <c r="F35" s="17"/>
      <c r="G35" s="17"/>
    </row>
    <row r="36" spans="1:7" ht="15.75" x14ac:dyDescent="0.25">
      <c r="A36" s="127" t="s">
        <v>253</v>
      </c>
      <c r="B36" s="11">
        <v>67771.39</v>
      </c>
      <c r="C36" s="9"/>
      <c r="D36" s="10">
        <v>45993.91</v>
      </c>
      <c r="E36" s="3"/>
      <c r="F36" s="3"/>
      <c r="G36" s="3"/>
    </row>
    <row r="37" spans="1:7" ht="15.75" x14ac:dyDescent="0.25">
      <c r="A37" s="127" t="s">
        <v>310</v>
      </c>
      <c r="B37" s="11">
        <v>1979.7</v>
      </c>
      <c r="C37" s="9"/>
      <c r="D37" s="10"/>
      <c r="E37" s="3"/>
      <c r="F37" s="3"/>
      <c r="G37" s="3"/>
    </row>
    <row r="38" spans="1:7" ht="15.75" hidden="1" x14ac:dyDescent="0.25">
      <c r="A38" s="127" t="s">
        <v>320</v>
      </c>
      <c r="B38" s="11"/>
      <c r="C38" s="9"/>
      <c r="D38" s="10">
        <v>0</v>
      </c>
      <c r="E38" s="3"/>
      <c r="F38" s="3"/>
      <c r="G38" s="3"/>
    </row>
    <row r="39" spans="1:7" ht="15.75" hidden="1" x14ac:dyDescent="0.25">
      <c r="A39" s="128" t="s">
        <v>256</v>
      </c>
      <c r="B39" s="8"/>
      <c r="C39" s="9"/>
      <c r="D39" s="10">
        <v>0</v>
      </c>
      <c r="E39" s="3"/>
      <c r="F39" s="3"/>
      <c r="G39" s="3"/>
    </row>
    <row r="40" spans="1:7" ht="15.75" hidden="1" x14ac:dyDescent="0.25">
      <c r="A40" s="127" t="s">
        <v>255</v>
      </c>
      <c r="B40" s="11"/>
      <c r="C40" s="9" t="s">
        <v>234</v>
      </c>
      <c r="D40" s="10">
        <v>0</v>
      </c>
      <c r="E40" s="3"/>
      <c r="F40" s="3"/>
      <c r="G40" s="3"/>
    </row>
    <row r="41" spans="1:7" ht="15.75" hidden="1" x14ac:dyDescent="0.25">
      <c r="A41" s="128" t="s">
        <v>257</v>
      </c>
      <c r="B41" s="8"/>
      <c r="C41" s="9"/>
      <c r="D41" s="10">
        <v>0</v>
      </c>
      <c r="E41" s="3"/>
      <c r="F41" s="3"/>
      <c r="G41" s="3"/>
    </row>
    <row r="42" spans="1:7" ht="15.75" hidden="1" x14ac:dyDescent="0.25">
      <c r="A42" s="127" t="s">
        <v>258</v>
      </c>
      <c r="B42" s="11"/>
      <c r="C42" s="9"/>
      <c r="D42" s="10">
        <v>0</v>
      </c>
      <c r="E42" s="3"/>
      <c r="F42" s="3"/>
      <c r="G42" s="3"/>
    </row>
    <row r="43" spans="1:7" ht="15.75" hidden="1" x14ac:dyDescent="0.25">
      <c r="A43" s="19" t="s">
        <v>259</v>
      </c>
      <c r="B43" s="11"/>
      <c r="C43" s="9"/>
      <c r="D43" s="10">
        <v>0</v>
      </c>
      <c r="E43" s="3"/>
      <c r="F43" s="3"/>
      <c r="G43" s="3"/>
    </row>
    <row r="44" spans="1:7" ht="15.75" hidden="1" x14ac:dyDescent="0.25">
      <c r="A44" s="19" t="s">
        <v>431</v>
      </c>
      <c r="B44" s="11"/>
      <c r="C44" s="9"/>
      <c r="D44" s="10"/>
      <c r="E44" s="3"/>
      <c r="F44" s="3"/>
      <c r="G44" s="3"/>
    </row>
    <row r="45" spans="1:7" ht="15.75" hidden="1" x14ac:dyDescent="0.25">
      <c r="A45" s="19" t="s">
        <v>392</v>
      </c>
      <c r="B45" s="11"/>
      <c r="C45" s="9"/>
      <c r="D45" s="10"/>
      <c r="E45" s="3"/>
      <c r="F45" s="3"/>
      <c r="G45" s="3"/>
    </row>
    <row r="46" spans="1:7" s="18" customFormat="1" ht="47.25" x14ac:dyDescent="0.25">
      <c r="A46" s="126" t="s">
        <v>393</v>
      </c>
      <c r="B46" s="121">
        <f>SUM(B47:B49)</f>
        <v>20546.441403302921</v>
      </c>
      <c r="C46" s="9"/>
      <c r="D46" s="10"/>
      <c r="E46" s="17"/>
      <c r="F46" s="17"/>
      <c r="G46" s="17"/>
    </row>
    <row r="47" spans="1:7" ht="15.75" hidden="1" x14ac:dyDescent="0.25">
      <c r="A47" s="19" t="s">
        <v>262</v>
      </c>
      <c r="B47" s="11"/>
      <c r="C47" s="23"/>
      <c r="D47" s="24"/>
      <c r="E47" s="3"/>
      <c r="F47" s="3"/>
      <c r="G47" s="3"/>
    </row>
    <row r="48" spans="1:7" ht="15.75" x14ac:dyDescent="0.25">
      <c r="A48" s="19" t="s">
        <v>263</v>
      </c>
      <c r="B48" s="11">
        <v>3462.52</v>
      </c>
      <c r="C48" s="23"/>
      <c r="D48" s="24"/>
      <c r="E48" s="3"/>
      <c r="F48" s="3"/>
      <c r="G48" s="3"/>
    </row>
    <row r="49" spans="1:7" ht="15.75" x14ac:dyDescent="0.25">
      <c r="A49" s="129" t="s">
        <v>264</v>
      </c>
      <c r="B49" s="11">
        <f>'[4]32тарифы'!D163*B15*1.0952*1.0952+249.92*1.12</f>
        <v>17083.92140330292</v>
      </c>
      <c r="C49" s="23"/>
      <c r="D49" s="24"/>
      <c r="E49" s="3"/>
      <c r="F49" s="3"/>
      <c r="G49" s="3"/>
    </row>
    <row r="50" spans="1:7" s="4" customFormat="1" ht="15.75" x14ac:dyDescent="0.25">
      <c r="A50" s="126" t="s">
        <v>265</v>
      </c>
      <c r="B50" s="121">
        <f>SUM(B51:B69)</f>
        <v>126647.25</v>
      </c>
      <c r="C50" s="9"/>
      <c r="D50" s="10"/>
    </row>
    <row r="51" spans="1:7" ht="15.75" x14ac:dyDescent="0.25">
      <c r="A51" s="127" t="s">
        <v>324</v>
      </c>
      <c r="B51" s="11">
        <v>2871.12</v>
      </c>
      <c r="C51" s="9"/>
      <c r="D51" s="10"/>
      <c r="E51" s="3" t="s">
        <v>267</v>
      </c>
      <c r="F51" s="3"/>
      <c r="G51" s="3"/>
    </row>
    <row r="52" spans="1:7" ht="15.75" x14ac:dyDescent="0.25">
      <c r="A52" s="127" t="s">
        <v>315</v>
      </c>
      <c r="B52" s="11">
        <v>3486</v>
      </c>
      <c r="C52" s="9"/>
      <c r="D52" s="10"/>
      <c r="E52" s="3" t="s">
        <v>269</v>
      </c>
      <c r="F52" s="3"/>
      <c r="G52" s="3"/>
    </row>
    <row r="53" spans="1:7" ht="15.75" hidden="1" x14ac:dyDescent="0.25">
      <c r="A53" s="95" t="s">
        <v>270</v>
      </c>
      <c r="B53" s="11"/>
      <c r="C53" s="9"/>
      <c r="D53" s="10"/>
      <c r="E53" s="3"/>
    </row>
    <row r="54" spans="1:7" ht="15.75" hidden="1" x14ac:dyDescent="0.25">
      <c r="A54" s="131" t="s">
        <v>432</v>
      </c>
      <c r="B54" s="8"/>
      <c r="C54" s="9"/>
      <c r="D54" s="10"/>
      <c r="E54" s="3"/>
    </row>
    <row r="55" spans="1:7" ht="15.75" x14ac:dyDescent="0.25">
      <c r="A55" s="95" t="s">
        <v>519</v>
      </c>
      <c r="B55" s="11">
        <v>15912</v>
      </c>
      <c r="C55" s="9"/>
      <c r="D55" s="10"/>
      <c r="E55" s="3"/>
    </row>
    <row r="56" spans="1:7" ht="15.75" x14ac:dyDescent="0.25">
      <c r="A56" s="95" t="s">
        <v>520</v>
      </c>
      <c r="B56" s="11">
        <v>4200</v>
      </c>
      <c r="C56" s="9"/>
      <c r="D56" s="10">
        <v>105.14</v>
      </c>
      <c r="E56" s="3"/>
    </row>
    <row r="57" spans="1:7" ht="15.75" x14ac:dyDescent="0.25">
      <c r="A57" s="95" t="s">
        <v>274</v>
      </c>
      <c r="B57" s="11">
        <v>31360</v>
      </c>
      <c r="C57" s="9">
        <v>1</v>
      </c>
      <c r="D57" s="10">
        <v>522.99</v>
      </c>
      <c r="E57" s="3"/>
    </row>
    <row r="58" spans="1:7" ht="15.75" x14ac:dyDescent="0.25">
      <c r="A58" s="111" t="s">
        <v>353</v>
      </c>
      <c r="B58" s="8">
        <v>8133.61</v>
      </c>
      <c r="C58" s="9">
        <v>1</v>
      </c>
      <c r="D58" s="28">
        <v>657.53</v>
      </c>
      <c r="E58" s="3"/>
    </row>
    <row r="59" spans="1:7" ht="15.75" hidden="1" x14ac:dyDescent="0.25">
      <c r="A59" s="95" t="s">
        <v>403</v>
      </c>
      <c r="B59" s="11"/>
      <c r="C59" s="9"/>
      <c r="D59" s="28"/>
      <c r="E59" s="3"/>
    </row>
    <row r="60" spans="1:7" ht="15.75" hidden="1" x14ac:dyDescent="0.25">
      <c r="A60" s="95" t="s">
        <v>277</v>
      </c>
      <c r="B60" s="11"/>
      <c r="C60" s="9">
        <v>0</v>
      </c>
      <c r="D60" s="10">
        <f>10695.76/1.18</f>
        <v>9064.203389830509</v>
      </c>
      <c r="E60" s="3"/>
    </row>
    <row r="61" spans="1:7" ht="15.75" hidden="1" x14ac:dyDescent="0.25">
      <c r="A61" s="95" t="s">
        <v>373</v>
      </c>
      <c r="B61" s="11"/>
      <c r="C61" s="9">
        <v>0</v>
      </c>
      <c r="D61" s="10">
        <f>2300/1.18</f>
        <v>1949.1525423728815</v>
      </c>
      <c r="E61" s="3"/>
    </row>
    <row r="62" spans="1:7" ht="15.75" x14ac:dyDescent="0.25">
      <c r="A62" s="95" t="s">
        <v>314</v>
      </c>
      <c r="B62" s="11">
        <f>VLOOKUP(A5,'[2]МКД 33'!$AI:$FO,137,FALSE)</f>
        <v>19067.400000000001</v>
      </c>
      <c r="C62" s="9">
        <v>0</v>
      </c>
      <c r="D62" s="10">
        <v>0</v>
      </c>
      <c r="E62" s="130">
        <f>B84+B50-B63+593.53</f>
        <v>141252.9</v>
      </c>
    </row>
    <row r="63" spans="1:7" ht="15.75" hidden="1" x14ac:dyDescent="0.25">
      <c r="A63" s="95" t="s">
        <v>278</v>
      </c>
      <c r="B63" s="11">
        <f>B13*'[4]32тарифы'!D184</f>
        <v>0</v>
      </c>
      <c r="C63" s="9"/>
      <c r="D63" s="10"/>
      <c r="E63" s="3"/>
    </row>
    <row r="64" spans="1:7" ht="15.75" hidden="1" x14ac:dyDescent="0.25">
      <c r="A64" s="19" t="s">
        <v>346</v>
      </c>
      <c r="B64" s="11"/>
      <c r="C64" s="9"/>
      <c r="D64" s="10"/>
      <c r="E64" s="3"/>
    </row>
    <row r="65" spans="1:5" ht="15.75" x14ac:dyDescent="0.25">
      <c r="A65" s="19" t="s">
        <v>281</v>
      </c>
      <c r="B65" s="11">
        <f>53.36</f>
        <v>53.36</v>
      </c>
      <c r="C65" s="9"/>
      <c r="D65" s="10">
        <v>0</v>
      </c>
      <c r="E65" s="3"/>
    </row>
    <row r="66" spans="1:5" ht="15.75" customHeight="1" x14ac:dyDescent="0.25">
      <c r="A66" s="127" t="s">
        <v>523</v>
      </c>
      <c r="B66" s="11">
        <v>20953.84</v>
      </c>
      <c r="C66" s="9"/>
      <c r="D66" s="10">
        <v>0</v>
      </c>
      <c r="E66" s="3"/>
    </row>
    <row r="67" spans="1:5" ht="15.75" x14ac:dyDescent="0.25">
      <c r="A67" s="127" t="s">
        <v>337</v>
      </c>
      <c r="B67" s="132">
        <v>20609.919999999998</v>
      </c>
      <c r="C67" s="30">
        <v>1</v>
      </c>
      <c r="D67" s="10">
        <v>0</v>
      </c>
      <c r="E67" s="3"/>
    </row>
    <row r="68" spans="1:5" ht="15.75" hidden="1" x14ac:dyDescent="0.25">
      <c r="A68" s="19" t="s">
        <v>283</v>
      </c>
      <c r="B68" s="132"/>
      <c r="C68" s="30">
        <v>60</v>
      </c>
      <c r="D68" s="10">
        <v>2</v>
      </c>
      <c r="E68" s="3">
        <v>1</v>
      </c>
    </row>
    <row r="69" spans="1:5" ht="15.75" hidden="1" x14ac:dyDescent="0.25">
      <c r="A69" s="110" t="s">
        <v>284</v>
      </c>
      <c r="B69" s="77"/>
      <c r="C69" s="32">
        <v>60</v>
      </c>
      <c r="D69" s="24">
        <f>650/1.18</f>
        <v>550.84745762711873</v>
      </c>
    </row>
    <row r="70" spans="1:5" s="4" customFormat="1" ht="15.75" x14ac:dyDescent="0.25">
      <c r="A70" s="133" t="s">
        <v>285</v>
      </c>
      <c r="B70" s="121">
        <f>SUM(B71:B78)</f>
        <v>218261.05025680095</v>
      </c>
      <c r="C70" s="23"/>
      <c r="D70" s="24"/>
    </row>
    <row r="71" spans="1:5" ht="15.75" hidden="1" x14ac:dyDescent="0.25">
      <c r="A71" s="19" t="s">
        <v>286</v>
      </c>
      <c r="B71" s="11"/>
      <c r="C71" s="23"/>
      <c r="D71" s="24"/>
    </row>
    <row r="72" spans="1:5" ht="15.75" x14ac:dyDescent="0.25">
      <c r="A72" s="127" t="s">
        <v>287</v>
      </c>
      <c r="B72" s="135">
        <f>78011*1.04*1.12*1.0952</f>
        <v>99517.771458560004</v>
      </c>
      <c r="C72" s="23"/>
      <c r="D72" s="24"/>
    </row>
    <row r="73" spans="1:5" ht="15.75" hidden="1" x14ac:dyDescent="0.25">
      <c r="A73" s="19" t="s">
        <v>288</v>
      </c>
      <c r="B73" s="11"/>
      <c r="C73" s="23"/>
      <c r="D73" s="24"/>
    </row>
    <row r="74" spans="1:5" ht="15.75" x14ac:dyDescent="0.25">
      <c r="A74" s="129" t="s">
        <v>289</v>
      </c>
      <c r="B74" s="11">
        <f>1.35*B15</f>
        <v>3564.81</v>
      </c>
      <c r="C74" s="23"/>
      <c r="D74" s="24"/>
    </row>
    <row r="75" spans="1:5" ht="15.75" x14ac:dyDescent="0.25">
      <c r="A75" s="129" t="s">
        <v>290</v>
      </c>
      <c r="B75" s="11">
        <f>5.06*B15</f>
        <v>13361.435999999998</v>
      </c>
      <c r="C75" s="23"/>
      <c r="D75" s="24"/>
    </row>
    <row r="76" spans="1:5" ht="15.75" x14ac:dyDescent="0.25">
      <c r="A76" s="129" t="s">
        <v>291</v>
      </c>
      <c r="B76" s="11">
        <f>17.68*B15</f>
        <v>46685.807999999997</v>
      </c>
      <c r="C76" s="23"/>
      <c r="D76" s="24"/>
    </row>
    <row r="77" spans="1:5" ht="15.75" x14ac:dyDescent="0.25">
      <c r="A77" s="129" t="s">
        <v>292</v>
      </c>
      <c r="B77" s="11">
        <f>1.04*4576.26030443624*1.12*1.0952</f>
        <v>5837.8847484555517</v>
      </c>
      <c r="C77" s="23"/>
      <c r="D77" s="24"/>
    </row>
    <row r="78" spans="1:5" ht="15.75" x14ac:dyDescent="0.25">
      <c r="A78" s="129" t="s">
        <v>293</v>
      </c>
      <c r="B78" s="11">
        <f>1.04*38640.5633311943*1.12*1.0952</f>
        <v>49293.340049785402</v>
      </c>
      <c r="C78" s="23"/>
      <c r="D78" s="24"/>
    </row>
    <row r="79" spans="1:5" ht="63" x14ac:dyDescent="0.25">
      <c r="A79" s="136" t="s">
        <v>294</v>
      </c>
      <c r="B79" s="121">
        <f>SUM(B80:B80)</f>
        <v>98129.920000000013</v>
      </c>
      <c r="C79" s="23"/>
      <c r="D79" s="24"/>
    </row>
    <row r="80" spans="1:5" ht="15.75" x14ac:dyDescent="0.25">
      <c r="A80" s="129" t="s">
        <v>295</v>
      </c>
      <c r="B80" s="11">
        <f>80000*1.12*1.0952</f>
        <v>98129.920000000013</v>
      </c>
      <c r="C80" s="23"/>
      <c r="D80" s="24"/>
    </row>
    <row r="81" spans="1:4" s="4" customFormat="1" ht="15.75" x14ac:dyDescent="0.25">
      <c r="A81" s="133" t="s">
        <v>296</v>
      </c>
      <c r="B81" s="121">
        <f>SUM(B82:B85)</f>
        <v>89669.660629320424</v>
      </c>
      <c r="C81" s="23"/>
      <c r="D81" s="24"/>
    </row>
    <row r="82" spans="1:4" ht="15.75" x14ac:dyDescent="0.25">
      <c r="A82" s="137" t="s">
        <v>297</v>
      </c>
      <c r="B82" s="11">
        <f>'[4]32тарифы'!D170*B15*1.12*1.0952</f>
        <v>69794.928101554993</v>
      </c>
      <c r="C82" s="23"/>
      <c r="D82" s="24"/>
    </row>
    <row r="83" spans="1:4" ht="15.75" hidden="1" x14ac:dyDescent="0.25">
      <c r="A83" s="137" t="s">
        <v>298</v>
      </c>
      <c r="B83" s="135">
        <f>(B26/1.2)*30%</f>
        <v>0</v>
      </c>
      <c r="C83" s="23"/>
      <c r="D83" s="24"/>
    </row>
    <row r="84" spans="1:4" ht="15.75" x14ac:dyDescent="0.25">
      <c r="A84" s="138" t="s">
        <v>299</v>
      </c>
      <c r="B84" s="11">
        <f>8146.4+5865.72</f>
        <v>14012.119999999999</v>
      </c>
      <c r="C84" s="23"/>
      <c r="D84" s="24"/>
    </row>
    <row r="85" spans="1:4" ht="15.75" x14ac:dyDescent="0.25">
      <c r="A85" s="138" t="s">
        <v>300</v>
      </c>
      <c r="B85" s="11">
        <f>'[4]32тарифы'!D173*B13*1.12*1.01</f>
        <v>5862.6125277654373</v>
      </c>
      <c r="C85" s="23"/>
      <c r="D85" s="24"/>
    </row>
    <row r="86" spans="1:4" ht="15.75" x14ac:dyDescent="0.25">
      <c r="A86" s="233" t="s">
        <v>301</v>
      </c>
      <c r="B86" s="14">
        <f>B32+B46+B50+B70+B79+B81</f>
        <v>659418.3722894243</v>
      </c>
      <c r="C86" s="23"/>
      <c r="D86" s="24"/>
    </row>
    <row r="87" spans="1:4" ht="15.75" x14ac:dyDescent="0.25">
      <c r="A87" s="139" t="s">
        <v>302</v>
      </c>
      <c r="B87" s="11">
        <f>B86*0.03</f>
        <v>19782.551168682727</v>
      </c>
      <c r="C87" s="23"/>
      <c r="D87" s="24"/>
    </row>
    <row r="88" spans="1:4" s="18" customFormat="1" ht="15.75" x14ac:dyDescent="0.25">
      <c r="A88" s="140" t="s">
        <v>303</v>
      </c>
      <c r="B88" s="121">
        <f>B86+B87</f>
        <v>679200.92345810705</v>
      </c>
      <c r="C88" s="23"/>
      <c r="D88" s="24"/>
    </row>
    <row r="89" spans="1:4" ht="16.5" thickBot="1" x14ac:dyDescent="0.3">
      <c r="A89" s="141" t="s">
        <v>304</v>
      </c>
      <c r="B89" s="142">
        <f>B88*0.2</f>
        <v>135840.18469162143</v>
      </c>
      <c r="C89" s="23"/>
      <c r="D89" s="24"/>
    </row>
    <row r="90" spans="1:4" s="4" customFormat="1" ht="16.5" thickBot="1" x14ac:dyDescent="0.3">
      <c r="A90" s="38" t="s">
        <v>305</v>
      </c>
      <c r="B90" s="46">
        <f>B88+B89</f>
        <v>815041.1081497285</v>
      </c>
      <c r="C90" s="40"/>
      <c r="D90" s="41"/>
    </row>
    <row r="91" spans="1:4" s="4" customFormat="1" ht="16.5" thickBot="1" x14ac:dyDescent="0.3">
      <c r="A91" s="42" t="s">
        <v>306</v>
      </c>
      <c r="B91" s="46">
        <f>B10+B24+B26+B28+B29-B90</f>
        <v>-1158996.3381497285</v>
      </c>
      <c r="C91" s="43"/>
      <c r="D91" s="43"/>
    </row>
    <row r="92" spans="1:4" s="4" customFormat="1" ht="16.5" hidden="1" thickBot="1" x14ac:dyDescent="0.3">
      <c r="A92" s="44" t="s">
        <v>307</v>
      </c>
      <c r="B92" s="46"/>
      <c r="C92" s="43"/>
      <c r="D92" s="43"/>
    </row>
    <row r="93" spans="1:4" s="4" customFormat="1" ht="16.5" hidden="1" thickBot="1" x14ac:dyDescent="0.3">
      <c r="A93" s="143" t="s">
        <v>308</v>
      </c>
      <c r="B93" s="46"/>
      <c r="C93" s="43"/>
      <c r="D93" s="43"/>
    </row>
    <row r="94" spans="1:4" ht="15.75" x14ac:dyDescent="0.25">
      <c r="A94" s="3"/>
      <c r="B94" s="130"/>
      <c r="C94" s="3"/>
      <c r="D94" s="3"/>
    </row>
    <row r="95" spans="1:4" ht="10.5" customHeight="1" x14ac:dyDescent="0.25">
      <c r="A95" s="49"/>
      <c r="B95" s="3"/>
      <c r="C95" s="3"/>
      <c r="D95" s="3"/>
    </row>
    <row r="96" spans="1:4" ht="15.75" x14ac:dyDescent="0.25">
      <c r="A96" s="286" t="s">
        <v>542</v>
      </c>
      <c r="B96" s="286"/>
      <c r="C96" s="3"/>
      <c r="D96" s="3"/>
    </row>
    <row r="97" spans="1:4" ht="15.75" x14ac:dyDescent="0.25">
      <c r="A97" s="49"/>
      <c r="B97" s="3"/>
      <c r="C97" s="3"/>
      <c r="D97" s="3"/>
    </row>
    <row r="98" spans="1:4" ht="15.75" hidden="1" x14ac:dyDescent="0.25">
      <c r="A98" s="292" t="s">
        <v>399</v>
      </c>
      <c r="B98" s="292"/>
      <c r="C98" s="51"/>
      <c r="D98" s="3"/>
    </row>
    <row r="99" spans="1:4" ht="15.75" x14ac:dyDescent="0.25">
      <c r="A99" s="3"/>
      <c r="B99" s="3"/>
      <c r="C99" s="3"/>
      <c r="D99" s="3"/>
    </row>
  </sheetData>
  <autoFilter ref="A32:G93" xr:uid="{00000000-0009-0000-0000-000023000000}">
    <filterColumn colId="1">
      <filters>
        <filter val="-1 158 996,34"/>
        <filter val="1 979,70"/>
        <filter val="126 647,25"/>
        <filter val="13 361,44"/>
        <filter val="135 840,18"/>
        <filter val="14 012,12"/>
        <filter val="15 912,00"/>
        <filter val="17 083,92"/>
        <filter val="17 514,77"/>
        <filter val="18 898,19"/>
        <filter val="19 067,40"/>
        <filter val="19 782,55"/>
        <filter val="2 871,12"/>
        <filter val="20 546,44"/>
        <filter val="20 609,92"/>
        <filter val="20 953,84"/>
        <filter val="218 261,05"/>
        <filter val="3 462,52"/>
        <filter val="3 486,00"/>
        <filter val="3 564,81"/>
        <filter val="31 360,00"/>
        <filter val="4 200,00"/>
        <filter val="46 685,81"/>
        <filter val="49 293,34"/>
        <filter val="5 837,88"/>
        <filter val="5 862,61"/>
        <filter val="53,36"/>
        <filter val="659 418,37"/>
        <filter val="67 771,39"/>
        <filter val="679 200,92"/>
        <filter val="69 794,93"/>
        <filter val="8 133,61"/>
        <filter val="815 041,11"/>
        <filter val="89 669,66"/>
        <filter val="98 129,92"/>
        <filter val="99 517,77"/>
      </filters>
    </filterColumn>
  </autoFilter>
  <mergeCells count="9">
    <mergeCell ref="D8:D9"/>
    <mergeCell ref="A96:B96"/>
    <mergeCell ref="A98:B98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2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>
    <pageSetUpPr fitToPage="1"/>
  </sheetPr>
  <dimension ref="A1:G95"/>
  <sheetViews>
    <sheetView view="pageBreakPreview" topLeftCell="A63" zoomScale="75" zoomScaleNormal="100" zoomScaleSheetLayoutView="75" workbookViewId="0">
      <selection activeCell="A24" sqref="A24:B24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91</v>
      </c>
      <c r="B5" s="184"/>
      <c r="C5" s="3"/>
      <c r="D5" s="3"/>
    </row>
    <row r="6" spans="1:4" ht="5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3.5" thickBot="1" x14ac:dyDescent="0.25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-560746.04</v>
      </c>
      <c r="C10" s="226"/>
      <c r="D10" s="226"/>
    </row>
    <row r="11" spans="1:4" s="227" customFormat="1" ht="16.5" hidden="1" thickBot="1" x14ac:dyDescent="0.3">
      <c r="A11" s="228" t="s">
        <v>232</v>
      </c>
      <c r="B11" s="229"/>
      <c r="C11" s="230"/>
      <c r="D11" s="230"/>
    </row>
    <row r="12" spans="1:4" ht="15.75" x14ac:dyDescent="0.25">
      <c r="A12" s="231" t="s">
        <v>233</v>
      </c>
      <c r="B12" s="210"/>
      <c r="C12" s="5" t="s">
        <v>234</v>
      </c>
      <c r="D12" s="6" t="s">
        <v>234</v>
      </c>
    </row>
    <row r="13" spans="1:4" ht="15.75" hidden="1" x14ac:dyDescent="0.25">
      <c r="A13" s="107" t="s">
        <v>235</v>
      </c>
      <c r="B13" s="8">
        <v>4480.2</v>
      </c>
      <c r="C13" s="9" t="s">
        <v>234</v>
      </c>
      <c r="D13" s="10" t="s">
        <v>234</v>
      </c>
    </row>
    <row r="14" spans="1:4" ht="15.75" hidden="1" x14ac:dyDescent="0.25">
      <c r="A14" s="107" t="s">
        <v>236</v>
      </c>
      <c r="B14" s="8">
        <v>0</v>
      </c>
      <c r="C14" s="9"/>
      <c r="D14" s="10"/>
    </row>
    <row r="15" spans="1:4" ht="15.75" hidden="1" x14ac:dyDescent="0.25">
      <c r="A15" s="123" t="s">
        <v>237</v>
      </c>
      <c r="B15" s="11">
        <f>B13+B14</f>
        <v>4480.2</v>
      </c>
      <c r="C15" s="9"/>
      <c r="D15" s="10"/>
    </row>
    <row r="16" spans="1:4" ht="15.75" hidden="1" x14ac:dyDescent="0.25">
      <c r="A16" s="123" t="s">
        <v>238</v>
      </c>
      <c r="B16" s="11">
        <f>1141.7+2322.03/3</f>
        <v>1915.71</v>
      </c>
      <c r="C16" s="9" t="s">
        <v>234</v>
      </c>
      <c r="D16" s="10" t="s">
        <v>234</v>
      </c>
    </row>
    <row r="17" spans="1:7" ht="15.75" hidden="1" x14ac:dyDescent="0.25">
      <c r="A17" s="107" t="s">
        <v>239</v>
      </c>
      <c r="B17" s="8">
        <v>0</v>
      </c>
      <c r="C17" s="9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107" t="s">
        <v>240</v>
      </c>
      <c r="B18" s="8">
        <v>1110.9000000000001</v>
      </c>
      <c r="C18" s="9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107" t="s">
        <v>241</v>
      </c>
      <c r="B19" s="8">
        <v>0</v>
      </c>
      <c r="C19" s="9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107" t="s">
        <v>242</v>
      </c>
      <c r="B20" s="8">
        <v>1122</v>
      </c>
      <c r="C20" s="9"/>
      <c r="D20" s="10"/>
      <c r="E20" s="3"/>
      <c r="F20" s="3"/>
      <c r="G20" s="3"/>
    </row>
    <row r="21" spans="1:7" ht="15.75" hidden="1" x14ac:dyDescent="0.25">
      <c r="A21" s="107" t="s">
        <v>243</v>
      </c>
      <c r="B21" s="8">
        <v>0</v>
      </c>
      <c r="C21" s="9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107" t="s">
        <v>244</v>
      </c>
      <c r="B22" s="8">
        <v>241</v>
      </c>
      <c r="C22" s="9"/>
      <c r="D22" s="10"/>
      <c r="E22" s="3"/>
      <c r="F22" s="3"/>
      <c r="G22" s="3"/>
    </row>
    <row r="23" spans="1:7" ht="15.75" x14ac:dyDescent="0.25">
      <c r="A23" s="123"/>
      <c r="B23" s="11"/>
      <c r="C23" s="9"/>
      <c r="D23" s="10"/>
      <c r="E23" s="3"/>
      <c r="F23" s="3"/>
      <c r="G23" s="3"/>
    </row>
    <row r="24" spans="1:7" ht="15.75" x14ac:dyDescent="0.25">
      <c r="A24" s="259" t="s">
        <v>317</v>
      </c>
      <c r="B24" s="255">
        <f>VLOOKUP(A5,мкд!W:X,2,FALSE)</f>
        <v>815665.77</v>
      </c>
      <c r="C24" s="9"/>
      <c r="D24" s="10"/>
      <c r="E24" s="195">
        <v>15.48</v>
      </c>
      <c r="F24" s="3"/>
      <c r="G24" s="3"/>
    </row>
    <row r="25" spans="1:7" ht="15.75" x14ac:dyDescent="0.25">
      <c r="A25" s="124" t="s">
        <v>318</v>
      </c>
      <c r="B25" s="14">
        <f>VLOOKUP(A5,мкд!W:Y,3,FALSE)</f>
        <v>807442.2</v>
      </c>
      <c r="C25" s="9"/>
      <c r="D25" s="10"/>
      <c r="E25" s="3"/>
      <c r="F25" s="3"/>
      <c r="G25" s="3"/>
    </row>
    <row r="26" spans="1:7" ht="15.75" hidden="1" x14ac:dyDescent="0.25">
      <c r="A26" s="124" t="s">
        <v>348</v>
      </c>
      <c r="B26" s="14"/>
      <c r="C26" s="9"/>
      <c r="D26" s="10"/>
      <c r="E26" s="3"/>
      <c r="F26" s="3"/>
      <c r="G26" s="3"/>
    </row>
    <row r="27" spans="1:7" ht="15.75" hidden="1" x14ac:dyDescent="0.25">
      <c r="A27" s="124" t="s">
        <v>349</v>
      </c>
      <c r="B27" s="14"/>
      <c r="C27" s="9"/>
      <c r="D27" s="10"/>
      <c r="E27" s="3"/>
      <c r="F27" s="3"/>
      <c r="G27" s="3"/>
    </row>
    <row r="28" spans="1:7" ht="15.75" x14ac:dyDescent="0.25">
      <c r="A28" s="124" t="s">
        <v>391</v>
      </c>
      <c r="B28" s="14">
        <v>9097.23</v>
      </c>
      <c r="C28" s="9"/>
      <c r="D28" s="10"/>
      <c r="E28" s="3"/>
      <c r="F28" s="3"/>
      <c r="G28" s="3"/>
    </row>
    <row r="29" spans="1:7" ht="15.75" hidden="1" x14ac:dyDescent="0.25">
      <c r="A29" s="124" t="s">
        <v>250</v>
      </c>
      <c r="B29" s="11"/>
      <c r="C29" s="9"/>
      <c r="D29" s="10"/>
      <c r="E29" s="3"/>
      <c r="F29" s="3"/>
      <c r="G29" s="3"/>
    </row>
    <row r="30" spans="1:7" ht="15.75" x14ac:dyDescent="0.25">
      <c r="A30" s="125"/>
      <c r="B30" s="11"/>
      <c r="C30" s="9"/>
      <c r="D30" s="10"/>
      <c r="E30" s="3"/>
      <c r="F30" s="3"/>
      <c r="G30" s="3"/>
    </row>
    <row r="31" spans="1:7" ht="15.75" x14ac:dyDescent="0.25">
      <c r="A31" s="232" t="s">
        <v>251</v>
      </c>
      <c r="B31" s="11"/>
      <c r="C31" s="9"/>
      <c r="D31" s="10"/>
      <c r="E31" s="3"/>
      <c r="F31" s="3"/>
      <c r="G31" s="3"/>
    </row>
    <row r="32" spans="1:7" s="18" customFormat="1" ht="31.5" x14ac:dyDescent="0.25">
      <c r="A32" s="126" t="s">
        <v>252</v>
      </c>
      <c r="B32" s="121">
        <f>SUM(B33:B41)</f>
        <v>254663.28999999998</v>
      </c>
      <c r="C32" s="9"/>
      <c r="D32" s="10"/>
      <c r="E32" s="17">
        <f>(B86-B24-B26)/1.2/1.03</f>
        <v>428621.09896871092</v>
      </c>
      <c r="F32" s="17" t="e">
        <f>(#REF!-#REF!-#REF!)/1.2/1.03</f>
        <v>#REF!</v>
      </c>
      <c r="G32" s="17" t="e">
        <f>(#REF!-#REF!-#REF!)/1.2/1.03</f>
        <v>#REF!</v>
      </c>
    </row>
    <row r="33" spans="1:7" ht="15.75" x14ac:dyDescent="0.25">
      <c r="A33" s="127" t="s">
        <v>253</v>
      </c>
      <c r="B33" s="11">
        <v>105184.17</v>
      </c>
      <c r="C33" s="9"/>
      <c r="D33" s="10">
        <v>56509.19</v>
      </c>
      <c r="E33" s="3"/>
      <c r="F33" s="3"/>
      <c r="G33" s="3"/>
    </row>
    <row r="34" spans="1:7" ht="15.75" hidden="1" x14ac:dyDescent="0.25">
      <c r="A34" s="128" t="s">
        <v>320</v>
      </c>
      <c r="B34" s="8"/>
      <c r="C34" s="9"/>
      <c r="D34" s="10">
        <v>0</v>
      </c>
      <c r="E34" s="3"/>
      <c r="F34" s="3"/>
      <c r="G34" s="3"/>
    </row>
    <row r="35" spans="1:7" ht="15.75" hidden="1" x14ac:dyDescent="0.25">
      <c r="A35" s="128" t="s">
        <v>256</v>
      </c>
      <c r="B35" s="8"/>
      <c r="C35" s="9"/>
      <c r="D35" s="10">
        <v>0</v>
      </c>
      <c r="E35" s="3"/>
      <c r="F35" s="3"/>
      <c r="G35" s="3"/>
    </row>
    <row r="36" spans="1:7" ht="15.75" x14ac:dyDescent="0.25">
      <c r="A36" s="127" t="s">
        <v>255</v>
      </c>
      <c r="B36" s="11">
        <v>4709.29</v>
      </c>
      <c r="C36" s="9" t="s">
        <v>234</v>
      </c>
      <c r="D36" s="10">
        <v>0</v>
      </c>
      <c r="E36" s="3"/>
      <c r="F36" s="3"/>
      <c r="G36" s="3"/>
    </row>
    <row r="37" spans="1:7" ht="15.75" x14ac:dyDescent="0.25">
      <c r="A37" s="127" t="s">
        <v>256</v>
      </c>
      <c r="B37" s="11">
        <v>83725.679999999978</v>
      </c>
      <c r="C37" s="9"/>
      <c r="D37" s="10">
        <v>0</v>
      </c>
      <c r="E37" s="3"/>
      <c r="F37" s="3"/>
      <c r="G37" s="3"/>
    </row>
    <row r="38" spans="1:7" ht="15.75" x14ac:dyDescent="0.25">
      <c r="A38" s="127" t="s">
        <v>257</v>
      </c>
      <c r="B38" s="11">
        <v>15751.349999999999</v>
      </c>
      <c r="C38" s="9"/>
      <c r="D38" s="10">
        <v>0</v>
      </c>
      <c r="E38" s="3"/>
      <c r="F38" s="3"/>
      <c r="G38" s="3"/>
    </row>
    <row r="39" spans="1:7" ht="15.75" hidden="1" x14ac:dyDescent="0.25">
      <c r="A39" s="110" t="s">
        <v>259</v>
      </c>
      <c r="B39" s="8"/>
      <c r="C39" s="9"/>
      <c r="D39" s="10">
        <v>0</v>
      </c>
      <c r="E39" s="3"/>
      <c r="F39" s="3"/>
      <c r="G39" s="3"/>
    </row>
    <row r="40" spans="1:7" ht="15.75" hidden="1" x14ac:dyDescent="0.25">
      <c r="A40" s="19" t="s">
        <v>335</v>
      </c>
      <c r="B40" s="11"/>
      <c r="C40" s="9"/>
      <c r="D40" s="10"/>
      <c r="E40" s="3"/>
      <c r="F40" s="3"/>
      <c r="G40" s="3"/>
    </row>
    <row r="41" spans="1:7" ht="15.75" x14ac:dyDescent="0.25">
      <c r="A41" s="19" t="s">
        <v>392</v>
      </c>
      <c r="B41" s="11">
        <v>45292.800000000003</v>
      </c>
      <c r="C41" s="9"/>
      <c r="D41" s="10"/>
      <c r="E41" s="3"/>
      <c r="F41" s="3"/>
      <c r="G41" s="3"/>
    </row>
    <row r="42" spans="1:7" s="18" customFormat="1" ht="47.25" x14ac:dyDescent="0.25">
      <c r="A42" s="126" t="s">
        <v>393</v>
      </c>
      <c r="B42" s="121">
        <f>SUM(B43:B45)</f>
        <v>116762.48388050956</v>
      </c>
      <c r="C42" s="9"/>
      <c r="D42" s="10"/>
      <c r="E42" s="17"/>
      <c r="F42" s="17"/>
      <c r="G42" s="17"/>
    </row>
    <row r="43" spans="1:7" ht="15.75" x14ac:dyDescent="0.25">
      <c r="A43" s="19" t="s">
        <v>262</v>
      </c>
      <c r="B43" s="11">
        <v>83855.039999999994</v>
      </c>
      <c r="C43" s="23"/>
      <c r="D43" s="24"/>
      <c r="E43" s="3"/>
      <c r="F43" s="3"/>
      <c r="G43" s="3"/>
    </row>
    <row r="44" spans="1:7" ht="15.75" hidden="1" x14ac:dyDescent="0.25">
      <c r="A44" s="19" t="s">
        <v>263</v>
      </c>
      <c r="B44" s="11">
        <v>0</v>
      </c>
      <c r="C44" s="23"/>
      <c r="D44" s="24"/>
      <c r="E44" s="3"/>
      <c r="F44" s="3"/>
      <c r="G44" s="3"/>
    </row>
    <row r="45" spans="1:7" ht="15.75" x14ac:dyDescent="0.25">
      <c r="A45" s="129" t="s">
        <v>264</v>
      </c>
      <c r="B45" s="11">
        <f>1.04*28251.5830018111*1.12</f>
        <v>32907.443880509571</v>
      </c>
      <c r="C45" s="23"/>
      <c r="D45" s="24"/>
      <c r="E45" s="3"/>
      <c r="F45" s="3"/>
      <c r="G45" s="3"/>
    </row>
    <row r="46" spans="1:7" s="4" customFormat="1" ht="15.75" x14ac:dyDescent="0.25">
      <c r="A46" s="126" t="s">
        <v>265</v>
      </c>
      <c r="B46" s="121">
        <f>SUM(B47:B65)</f>
        <v>105838.78000000001</v>
      </c>
      <c r="C46" s="9"/>
      <c r="D46" s="10"/>
    </row>
    <row r="47" spans="1:7" ht="15.75" x14ac:dyDescent="0.25">
      <c r="A47" s="127" t="s">
        <v>324</v>
      </c>
      <c r="B47" s="11">
        <v>4665.84</v>
      </c>
      <c r="C47" s="9"/>
      <c r="D47" s="10"/>
      <c r="E47" s="3" t="s">
        <v>267</v>
      </c>
      <c r="F47" s="3"/>
      <c r="G47" s="3"/>
    </row>
    <row r="48" spans="1:7" ht="15.75" x14ac:dyDescent="0.25">
      <c r="A48" s="127" t="s">
        <v>315</v>
      </c>
      <c r="B48" s="11">
        <v>5665.56</v>
      </c>
      <c r="C48" s="9"/>
      <c r="D48" s="10"/>
      <c r="E48" s="3" t="s">
        <v>269</v>
      </c>
      <c r="F48" s="3"/>
      <c r="G48" s="3"/>
    </row>
    <row r="49" spans="1:5" ht="15.75" hidden="1" x14ac:dyDescent="0.25">
      <c r="A49" s="95" t="s">
        <v>270</v>
      </c>
      <c r="B49" s="11"/>
      <c r="C49" s="9"/>
      <c r="D49" s="10"/>
      <c r="E49" s="3"/>
    </row>
    <row r="50" spans="1:5" ht="15.75" hidden="1" x14ac:dyDescent="0.25">
      <c r="A50" s="131" t="s">
        <v>373</v>
      </c>
      <c r="B50" s="8"/>
      <c r="C50" s="9"/>
      <c r="D50" s="10"/>
      <c r="E50" s="3"/>
    </row>
    <row r="51" spans="1:5" ht="15.75" x14ac:dyDescent="0.25">
      <c r="A51" s="95" t="s">
        <v>314</v>
      </c>
      <c r="B51" s="11">
        <f>VLOOKUP(A5,'[2]МКД 33'!$AI:$FO,137,FALSE)</f>
        <v>28601.100000000002</v>
      </c>
      <c r="C51" s="9"/>
      <c r="D51" s="10"/>
      <c r="E51" s="3"/>
    </row>
    <row r="52" spans="1:5" ht="15.75" hidden="1" x14ac:dyDescent="0.25">
      <c r="A52" s="95" t="s">
        <v>314</v>
      </c>
      <c r="B52" s="11">
        <f>B21*'[4]32тарифы'!D177</f>
        <v>0</v>
      </c>
      <c r="C52" s="9"/>
      <c r="D52" s="10">
        <v>105.14</v>
      </c>
      <c r="E52" s="3"/>
    </row>
    <row r="53" spans="1:5" ht="15.75" hidden="1" x14ac:dyDescent="0.25">
      <c r="A53" s="131" t="s">
        <v>274</v>
      </c>
      <c r="B53" s="8"/>
      <c r="C53" s="9">
        <v>0</v>
      </c>
      <c r="D53" s="10">
        <v>522.99</v>
      </c>
      <c r="E53" s="3"/>
    </row>
    <row r="54" spans="1:5" ht="15.75" x14ac:dyDescent="0.25">
      <c r="A54" s="111" t="s">
        <v>275</v>
      </c>
      <c r="B54" s="8">
        <v>8133.61</v>
      </c>
      <c r="C54" s="9">
        <v>1</v>
      </c>
      <c r="D54" s="28">
        <v>695.13</v>
      </c>
      <c r="E54" s="3"/>
    </row>
    <row r="55" spans="1:5" ht="15.75" x14ac:dyDescent="0.25">
      <c r="A55" s="95" t="s">
        <v>520</v>
      </c>
      <c r="B55" s="11">
        <v>4200</v>
      </c>
      <c r="C55" s="9"/>
      <c r="D55" s="28"/>
      <c r="E55" s="3"/>
    </row>
    <row r="56" spans="1:5" ht="15.75" hidden="1" x14ac:dyDescent="0.25">
      <c r="A56" s="95" t="s">
        <v>277</v>
      </c>
      <c r="B56" s="11"/>
      <c r="C56" s="9">
        <v>0</v>
      </c>
      <c r="D56" s="10">
        <f>10695.76/1.18</f>
        <v>9064.203389830509</v>
      </c>
      <c r="E56" s="3"/>
    </row>
    <row r="57" spans="1:5" ht="15.75" hidden="1" x14ac:dyDescent="0.25">
      <c r="A57" s="95" t="s">
        <v>344</v>
      </c>
      <c r="B57" s="11"/>
      <c r="C57" s="9">
        <v>0</v>
      </c>
      <c r="D57" s="10">
        <f>2300/1.18</f>
        <v>1949.1525423728815</v>
      </c>
      <c r="E57" s="3"/>
    </row>
    <row r="58" spans="1:5" ht="15.75" hidden="1" x14ac:dyDescent="0.25">
      <c r="A58" s="131" t="s">
        <v>313</v>
      </c>
      <c r="B58" s="8"/>
      <c r="C58" s="9">
        <v>0</v>
      </c>
      <c r="D58" s="10">
        <v>0</v>
      </c>
      <c r="E58" s="3"/>
    </row>
    <row r="59" spans="1:5" ht="15.75" x14ac:dyDescent="0.25">
      <c r="A59" s="131" t="s">
        <v>518</v>
      </c>
      <c r="B59" s="8">
        <v>19506.939999999999</v>
      </c>
      <c r="C59" s="9"/>
      <c r="D59" s="10"/>
      <c r="E59" s="3"/>
    </row>
    <row r="60" spans="1:5" ht="15.75" hidden="1" x14ac:dyDescent="0.25">
      <c r="A60" s="110" t="s">
        <v>346</v>
      </c>
      <c r="B60" s="8"/>
      <c r="C60" s="9"/>
      <c r="D60" s="10"/>
      <c r="E60" s="130">
        <f>B80+B46-B59+621.82</f>
        <v>109051.95000000001</v>
      </c>
    </row>
    <row r="61" spans="1:5" ht="15.75" hidden="1" x14ac:dyDescent="0.25">
      <c r="A61" s="110" t="s">
        <v>280</v>
      </c>
      <c r="B61" s="8"/>
      <c r="C61" s="9"/>
      <c r="D61" s="10">
        <v>0</v>
      </c>
      <c r="E61" s="3"/>
    </row>
    <row r="62" spans="1:5" ht="15.75" hidden="1" x14ac:dyDescent="0.25">
      <c r="A62" s="127" t="s">
        <v>336</v>
      </c>
      <c r="B62" s="11"/>
      <c r="C62" s="9"/>
      <c r="D62" s="10">
        <v>0</v>
      </c>
      <c r="E62" s="3"/>
    </row>
    <row r="63" spans="1:5" ht="15.75" x14ac:dyDescent="0.25">
      <c r="A63" s="127" t="s">
        <v>325</v>
      </c>
      <c r="B63" s="132">
        <v>34347.519999999997</v>
      </c>
      <c r="C63" s="30">
        <v>1</v>
      </c>
      <c r="D63" s="10">
        <v>0</v>
      </c>
      <c r="E63" s="3"/>
    </row>
    <row r="64" spans="1:5" ht="15.75" hidden="1" x14ac:dyDescent="0.25">
      <c r="A64" s="19" t="s">
        <v>283</v>
      </c>
      <c r="B64" s="132"/>
      <c r="C64" s="30">
        <v>90</v>
      </c>
      <c r="D64" s="10">
        <v>2</v>
      </c>
      <c r="E64" s="3">
        <v>1</v>
      </c>
    </row>
    <row r="65" spans="1:4" ht="15.75" x14ac:dyDescent="0.25">
      <c r="A65" s="19" t="s">
        <v>356</v>
      </c>
      <c r="B65" s="132">
        <f>84.88+633.33</f>
        <v>718.21</v>
      </c>
      <c r="C65" s="32">
        <v>90</v>
      </c>
      <c r="D65" s="24">
        <v>560</v>
      </c>
    </row>
    <row r="66" spans="1:4" s="4" customFormat="1" ht="15.75" x14ac:dyDescent="0.25">
      <c r="A66" s="133" t="s">
        <v>285</v>
      </c>
      <c r="B66" s="121">
        <f>SUM(B67:B74)</f>
        <v>293996.04168603336</v>
      </c>
      <c r="C66" s="23"/>
      <c r="D66" s="24"/>
    </row>
    <row r="67" spans="1:4" ht="15.75" hidden="1" x14ac:dyDescent="0.25">
      <c r="A67" s="110" t="s">
        <v>286</v>
      </c>
      <c r="B67" s="8"/>
      <c r="C67" s="23"/>
      <c r="D67" s="24"/>
    </row>
    <row r="68" spans="1:4" ht="15.75" x14ac:dyDescent="0.25">
      <c r="A68" s="127" t="s">
        <v>287</v>
      </c>
      <c r="B68" s="135">
        <f>1.04*72532.64*1.12*1.0952</f>
        <v>92529.088087654411</v>
      </c>
      <c r="C68" s="23"/>
      <c r="D68" s="24"/>
    </row>
    <row r="69" spans="1:4" ht="15.75" hidden="1" x14ac:dyDescent="0.25">
      <c r="A69" s="110" t="s">
        <v>288</v>
      </c>
      <c r="B69" s="8"/>
      <c r="C69" s="23"/>
      <c r="D69" s="24"/>
    </row>
    <row r="70" spans="1:4" ht="15.75" x14ac:dyDescent="0.25">
      <c r="A70" s="129" t="s">
        <v>289</v>
      </c>
      <c r="B70" s="11">
        <f>1.35*B15</f>
        <v>6048.27</v>
      </c>
      <c r="C70" s="23"/>
      <c r="D70" s="24"/>
    </row>
    <row r="71" spans="1:4" ht="15.75" x14ac:dyDescent="0.25">
      <c r="A71" s="129" t="s">
        <v>290</v>
      </c>
      <c r="B71" s="11">
        <f>5.06*B15</f>
        <v>22669.811999999998</v>
      </c>
      <c r="C71" s="23"/>
      <c r="D71" s="24"/>
    </row>
    <row r="72" spans="1:4" ht="15.75" x14ac:dyDescent="0.25">
      <c r="A72" s="129" t="s">
        <v>291</v>
      </c>
      <c r="B72" s="11">
        <f>17.68*B15</f>
        <v>79209.936000000002</v>
      </c>
      <c r="C72" s="23"/>
      <c r="D72" s="24"/>
    </row>
    <row r="73" spans="1:4" ht="15.75" x14ac:dyDescent="0.25">
      <c r="A73" s="129" t="s">
        <v>292</v>
      </c>
      <c r="B73" s="11">
        <f>1.04*7764.35712184173*1.12*1.0952</f>
        <v>9904.9046618308694</v>
      </c>
      <c r="C73" s="23"/>
      <c r="D73" s="24"/>
    </row>
    <row r="74" spans="1:4" ht="15.75" x14ac:dyDescent="0.25">
      <c r="A74" s="129" t="s">
        <v>293</v>
      </c>
      <c r="B74" s="11">
        <f>1.04*65559.8923867367*1.12*1.0952</f>
        <v>83634.030936548079</v>
      </c>
      <c r="C74" s="23"/>
      <c r="D74" s="24"/>
    </row>
    <row r="75" spans="1:4" ht="63" x14ac:dyDescent="0.25">
      <c r="A75" s="136" t="s">
        <v>294</v>
      </c>
      <c r="B75" s="121">
        <f>SUM(B76:B76)</f>
        <v>166820.864</v>
      </c>
      <c r="C75" s="23"/>
      <c r="D75" s="24"/>
    </row>
    <row r="76" spans="1:4" ht="15.75" x14ac:dyDescent="0.25">
      <c r="A76" s="129" t="s">
        <v>295</v>
      </c>
      <c r="B76" s="11">
        <f>136000*1.12*1.0952</f>
        <v>166820.864</v>
      </c>
      <c r="C76" s="23"/>
      <c r="D76" s="24"/>
    </row>
    <row r="77" spans="1:4" s="4" customFormat="1" ht="15.75" x14ac:dyDescent="0.25">
      <c r="A77" s="133" t="s">
        <v>296</v>
      </c>
      <c r="B77" s="121">
        <f>SUM(B78:B81)</f>
        <v>150463.40153809037</v>
      </c>
      <c r="C77" s="23"/>
      <c r="D77" s="24"/>
    </row>
    <row r="78" spans="1:4" ht="15.75" x14ac:dyDescent="0.25">
      <c r="A78" s="137" t="s">
        <v>297</v>
      </c>
      <c r="B78" s="11">
        <f>'[4]32тарифы'!D170*B15*1.12*1.0952</f>
        <v>118418.25224592393</v>
      </c>
      <c r="C78" s="23"/>
      <c r="D78" s="24"/>
    </row>
    <row r="79" spans="1:4" ht="15.75" hidden="1" x14ac:dyDescent="0.25">
      <c r="A79" s="137" t="s">
        <v>298</v>
      </c>
      <c r="B79" s="135">
        <f>(B26/1.2)*30%</f>
        <v>0</v>
      </c>
      <c r="C79" s="23"/>
      <c r="D79" s="24"/>
    </row>
    <row r="80" spans="1:4" ht="15.75" x14ac:dyDescent="0.25">
      <c r="A80" s="138" t="s">
        <v>299</v>
      </c>
      <c r="B80" s="11">
        <f>12019.32+10078.97</f>
        <v>22098.29</v>
      </c>
      <c r="C80" s="23"/>
      <c r="D80" s="24"/>
    </row>
    <row r="81" spans="1:4" ht="15.75" x14ac:dyDescent="0.25">
      <c r="A81" s="138" t="s">
        <v>300</v>
      </c>
      <c r="B81" s="11">
        <f>'[4]32тарифы'!D173*B13*1.12*1.01</f>
        <v>9946.859292166444</v>
      </c>
      <c r="C81" s="23"/>
      <c r="D81" s="24"/>
    </row>
    <row r="82" spans="1:4" ht="15.75" x14ac:dyDescent="0.25">
      <c r="A82" s="233" t="s">
        <v>301</v>
      </c>
      <c r="B82" s="14">
        <f>B32+B42+B46+B66+B75+B77</f>
        <v>1088544.8611046332</v>
      </c>
      <c r="C82" s="23"/>
      <c r="D82" s="24"/>
    </row>
    <row r="83" spans="1:4" ht="15.75" x14ac:dyDescent="0.25">
      <c r="A83" s="139" t="s">
        <v>302</v>
      </c>
      <c r="B83" s="11">
        <f>B82*0.03</f>
        <v>32656.345833138996</v>
      </c>
      <c r="C83" s="23"/>
      <c r="D83" s="24"/>
    </row>
    <row r="84" spans="1:4" s="18" customFormat="1" ht="15.75" x14ac:dyDescent="0.25">
      <c r="A84" s="140" t="s">
        <v>303</v>
      </c>
      <c r="B84" s="121">
        <f>B82+B83</f>
        <v>1121201.2069377722</v>
      </c>
      <c r="C84" s="23"/>
      <c r="D84" s="24"/>
    </row>
    <row r="85" spans="1:4" ht="16.5" thickBot="1" x14ac:dyDescent="0.3">
      <c r="A85" s="141" t="s">
        <v>304</v>
      </c>
      <c r="B85" s="142">
        <f>B84*0.2</f>
        <v>224240.24138755444</v>
      </c>
      <c r="C85" s="23"/>
      <c r="D85" s="24"/>
    </row>
    <row r="86" spans="1:4" s="4" customFormat="1" ht="16.5" thickBot="1" x14ac:dyDescent="0.3">
      <c r="A86" s="38" t="s">
        <v>305</v>
      </c>
      <c r="B86" s="46">
        <f>B84+B85</f>
        <v>1345441.4483253267</v>
      </c>
      <c r="C86" s="40"/>
      <c r="D86" s="41"/>
    </row>
    <row r="87" spans="1:4" s="4" customFormat="1" ht="16.5" thickBot="1" x14ac:dyDescent="0.3">
      <c r="A87" s="42" t="s">
        <v>306</v>
      </c>
      <c r="B87" s="46">
        <f>B10+B24+B26+B28+B29-B86</f>
        <v>-1081424.4883253267</v>
      </c>
      <c r="C87" s="43"/>
      <c r="D87" s="43"/>
    </row>
    <row r="88" spans="1:4" s="4" customFormat="1" ht="16.5" hidden="1" thickBot="1" x14ac:dyDescent="0.3">
      <c r="A88" s="44" t="s">
        <v>307</v>
      </c>
      <c r="B88" s="46"/>
      <c r="C88" s="43"/>
      <c r="D88" s="43"/>
    </row>
    <row r="89" spans="1:4" s="4" customFormat="1" ht="16.5" hidden="1" thickBot="1" x14ac:dyDescent="0.3">
      <c r="A89" s="143" t="s">
        <v>308</v>
      </c>
      <c r="B89" s="46"/>
      <c r="C89" s="43"/>
      <c r="D89" s="43"/>
    </row>
    <row r="90" spans="1:4" ht="15.75" x14ac:dyDescent="0.25">
      <c r="A90" s="3"/>
      <c r="B90" s="130"/>
      <c r="C90" s="3"/>
      <c r="D90" s="3"/>
    </row>
    <row r="91" spans="1:4" ht="10.5" customHeight="1" x14ac:dyDescent="0.25">
      <c r="A91" s="49"/>
      <c r="B91" s="3"/>
      <c r="C91" s="3"/>
      <c r="D91" s="3"/>
    </row>
    <row r="92" spans="1:4" ht="15.75" x14ac:dyDescent="0.25">
      <c r="A92" s="286" t="s">
        <v>542</v>
      </c>
      <c r="B92" s="286"/>
      <c r="C92" s="3"/>
      <c r="D92" s="3"/>
    </row>
    <row r="93" spans="1:4" ht="15.75" x14ac:dyDescent="0.25">
      <c r="A93" s="49"/>
      <c r="B93" s="3"/>
      <c r="C93" s="3"/>
      <c r="D93" s="3"/>
    </row>
    <row r="94" spans="1:4" ht="15.75" hidden="1" x14ac:dyDescent="0.25">
      <c r="A94" s="292" t="s">
        <v>399</v>
      </c>
      <c r="B94" s="292"/>
      <c r="C94" s="51"/>
      <c r="D94" s="3"/>
    </row>
    <row r="95" spans="1:4" ht="15.75" x14ac:dyDescent="0.25">
      <c r="A95" s="3"/>
      <c r="B95" s="3"/>
      <c r="C95" s="3"/>
      <c r="D95" s="3"/>
    </row>
  </sheetData>
  <autoFilter ref="A32:G89" xr:uid="{00000000-0009-0000-0000-000024000000}">
    <filterColumn colId="1">
      <filters>
        <filter val="-1 081 424,49"/>
        <filter val="1 088 544,86"/>
        <filter val="1 121 201,21"/>
        <filter val="1 345 441,45"/>
        <filter val="105 184,17"/>
        <filter val="105 838,78"/>
        <filter val="116 762,48"/>
        <filter val="118 418,25"/>
        <filter val="15 751,35"/>
        <filter val="150 463,40"/>
        <filter val="166 820,86"/>
        <filter val="19 506,94"/>
        <filter val="22 098,29"/>
        <filter val="22 669,81"/>
        <filter val="224 240,24"/>
        <filter val="28 601,10"/>
        <filter val="293 996,04"/>
        <filter val="32 656,35"/>
        <filter val="32 907,44"/>
        <filter val="34 347,52"/>
        <filter val="4 200,00"/>
        <filter val="4 665,84"/>
        <filter val="4 709,29"/>
        <filter val="45 292,80"/>
        <filter val="5 665,56"/>
        <filter val="6 048,27"/>
        <filter val="718,21"/>
        <filter val="79 209,94"/>
        <filter val="8 133,61"/>
        <filter val="83 634,03"/>
        <filter val="83 725,68"/>
        <filter val="83 855,04"/>
        <filter val="9 904,90"/>
        <filter val="9 946,86"/>
        <filter val="92 529,09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filterMode="1">
    <pageSetUpPr fitToPage="1"/>
  </sheetPr>
  <dimension ref="A1:L94"/>
  <sheetViews>
    <sheetView view="pageBreakPreview" topLeftCell="A66" zoomScale="80" zoomScaleNormal="100" zoomScaleSheetLayoutView="80" workbookViewId="0">
      <selection activeCell="A24" sqref="A24:B24"/>
    </sheetView>
  </sheetViews>
  <sheetFormatPr defaultRowHeight="15.75" x14ac:dyDescent="0.25"/>
  <cols>
    <col min="1" max="1" width="91.5703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269" t="s">
        <v>224</v>
      </c>
      <c r="B1" s="269"/>
    </row>
    <row r="2" spans="1:4" ht="16.5" x14ac:dyDescent="0.25">
      <c r="A2" s="270" t="s">
        <v>225</v>
      </c>
      <c r="B2" s="270"/>
    </row>
    <row r="3" spans="1:4" ht="16.5" x14ac:dyDescent="0.25">
      <c r="A3" s="270" t="s">
        <v>226</v>
      </c>
      <c r="B3" s="270"/>
    </row>
    <row r="4" spans="1:4" x14ac:dyDescent="0.25">
      <c r="A4" s="184" t="s">
        <v>494</v>
      </c>
      <c r="B4" s="184"/>
    </row>
    <row r="5" spans="1:4" x14ac:dyDescent="0.25">
      <c r="A5" s="184" t="s">
        <v>100</v>
      </c>
      <c r="B5" s="184"/>
    </row>
    <row r="6" spans="1:4" x14ac:dyDescent="0.25">
      <c r="A6" s="184"/>
      <c r="C6" s="4"/>
    </row>
    <row r="7" spans="1:4" ht="16.5" thickBot="1" x14ac:dyDescent="0.3">
      <c r="A7" s="186"/>
      <c r="C7" s="4"/>
    </row>
    <row r="8" spans="1:4" x14ac:dyDescent="0.25">
      <c r="A8" s="271" t="s">
        <v>227</v>
      </c>
      <c r="B8" s="295" t="s">
        <v>228</v>
      </c>
      <c r="C8" s="265" t="s">
        <v>229</v>
      </c>
      <c r="D8" s="265" t="s">
        <v>230</v>
      </c>
    </row>
    <row r="9" spans="1:4" ht="16.5" thickBot="1" x14ac:dyDescent="0.3">
      <c r="A9" s="272"/>
      <c r="B9" s="296"/>
      <c r="C9" s="266"/>
      <c r="D9" s="266"/>
    </row>
    <row r="10" spans="1:4" ht="16.5" thickBot="1" x14ac:dyDescent="0.3">
      <c r="A10" s="187" t="s">
        <v>231</v>
      </c>
      <c r="B10" s="179">
        <f>VLOOKUP(A5,мкд!S:T,2,FALSE)</f>
        <v>8273540.0199999996</v>
      </c>
      <c r="C10" s="189"/>
      <c r="D10" s="189"/>
    </row>
    <row r="11" spans="1:4" ht="16.5" hidden="1" thickBot="1" x14ac:dyDescent="0.3">
      <c r="A11" s="190" t="s">
        <v>232</v>
      </c>
      <c r="B11" s="188"/>
      <c r="C11" s="191"/>
      <c r="D11" s="191"/>
    </row>
    <row r="12" spans="1:4" x14ac:dyDescent="0.25">
      <c r="A12" s="192" t="s">
        <v>233</v>
      </c>
      <c r="B12" s="193"/>
      <c r="C12" s="5" t="s">
        <v>234</v>
      </c>
      <c r="D12" s="6" t="s">
        <v>234</v>
      </c>
    </row>
    <row r="13" spans="1:4" hidden="1" x14ac:dyDescent="0.25">
      <c r="A13" s="7" t="s">
        <v>235</v>
      </c>
      <c r="B13" s="11">
        <v>6768.1</v>
      </c>
      <c r="C13" s="9" t="s">
        <v>234</v>
      </c>
      <c r="D13" s="10" t="s">
        <v>234</v>
      </c>
    </row>
    <row r="14" spans="1:4" hidden="1" x14ac:dyDescent="0.25">
      <c r="A14" s="7" t="s">
        <v>236</v>
      </c>
      <c r="B14" s="11">
        <v>0</v>
      </c>
      <c r="C14" s="9"/>
      <c r="D14" s="10"/>
    </row>
    <row r="15" spans="1:4" hidden="1" x14ac:dyDescent="0.25">
      <c r="A15" s="7" t="s">
        <v>237</v>
      </c>
      <c r="B15" s="11">
        <f>B13+B14</f>
        <v>6768.1</v>
      </c>
      <c r="C15" s="9"/>
      <c r="D15" s="10"/>
    </row>
    <row r="16" spans="1:4" hidden="1" x14ac:dyDescent="0.25">
      <c r="A16" s="7" t="s">
        <v>238</v>
      </c>
      <c r="B16" s="11">
        <f>3214.2+2781.2/3</f>
        <v>4141.2666666666664</v>
      </c>
      <c r="C16" s="9" t="s">
        <v>234</v>
      </c>
      <c r="D16" s="10" t="s">
        <v>234</v>
      </c>
    </row>
    <row r="17" spans="1:7" hidden="1" x14ac:dyDescent="0.25">
      <c r="A17" s="7" t="s">
        <v>239</v>
      </c>
      <c r="B17" s="11">
        <v>810.9</v>
      </c>
      <c r="C17" s="9" t="s">
        <v>234</v>
      </c>
      <c r="D17" s="10" t="s">
        <v>234</v>
      </c>
    </row>
    <row r="18" spans="1:7" hidden="1" x14ac:dyDescent="0.25">
      <c r="A18" s="7" t="s">
        <v>240</v>
      </c>
      <c r="B18" s="11">
        <v>1146.0999999999999</v>
      </c>
      <c r="C18" s="9" t="s">
        <v>234</v>
      </c>
      <c r="D18" s="10" t="s">
        <v>234</v>
      </c>
    </row>
    <row r="19" spans="1:7" hidden="1" x14ac:dyDescent="0.25">
      <c r="A19" s="7" t="s">
        <v>241</v>
      </c>
      <c r="B19" s="11">
        <v>0</v>
      </c>
      <c r="C19" s="9" t="s">
        <v>234</v>
      </c>
      <c r="D19" s="10" t="s">
        <v>234</v>
      </c>
    </row>
    <row r="20" spans="1:7" hidden="1" x14ac:dyDescent="0.25">
      <c r="A20" s="7" t="s">
        <v>242</v>
      </c>
      <c r="B20" s="11">
        <v>1566</v>
      </c>
      <c r="C20" s="9"/>
      <c r="D20" s="10"/>
    </row>
    <row r="21" spans="1:7" hidden="1" x14ac:dyDescent="0.25">
      <c r="A21" s="7" t="s">
        <v>243</v>
      </c>
      <c r="B21" s="11">
        <v>2</v>
      </c>
      <c r="C21" s="9" t="s">
        <v>234</v>
      </c>
      <c r="D21" s="10" t="s">
        <v>234</v>
      </c>
    </row>
    <row r="22" spans="1:7" hidden="1" x14ac:dyDescent="0.25">
      <c r="A22" s="7" t="s">
        <v>244</v>
      </c>
      <c r="B22" s="11">
        <v>536</v>
      </c>
      <c r="C22" s="9"/>
      <c r="D22" s="10"/>
    </row>
    <row r="23" spans="1:7" x14ac:dyDescent="0.25">
      <c r="A23" s="7"/>
      <c r="B23" s="11"/>
      <c r="C23" s="9"/>
      <c r="D23" s="10"/>
      <c r="E23" s="3">
        <v>10</v>
      </c>
      <c r="F23" s="3">
        <v>2</v>
      </c>
    </row>
    <row r="24" spans="1:7" x14ac:dyDescent="0.25">
      <c r="A24" s="257" t="s">
        <v>245</v>
      </c>
      <c r="B24" s="255">
        <f>VLOOKUP(A5,мкд!W:X,2,FALSE)</f>
        <v>2682026.6399999997</v>
      </c>
      <c r="C24" s="9"/>
      <c r="D24" s="10"/>
      <c r="E24" s="194">
        <v>29.55</v>
      </c>
      <c r="F24" s="195">
        <v>33.078269999999996</v>
      </c>
    </row>
    <row r="25" spans="1:7" x14ac:dyDescent="0.25">
      <c r="A25" s="12" t="s">
        <v>246</v>
      </c>
      <c r="B25" s="14">
        <f>VLOOKUP(A5,мкд!W:Y,3,FALSE)</f>
        <v>2517638.0999999996</v>
      </c>
      <c r="C25" s="9"/>
      <c r="D25" s="10"/>
    </row>
    <row r="26" spans="1:7" hidden="1" x14ac:dyDescent="0.25">
      <c r="A26" s="12" t="s">
        <v>247</v>
      </c>
      <c r="B26" s="14"/>
      <c r="C26" s="9"/>
      <c r="D26" s="10"/>
    </row>
    <row r="27" spans="1:7" hidden="1" x14ac:dyDescent="0.25">
      <c r="A27" s="12" t="s">
        <v>248</v>
      </c>
      <c r="B27" s="14">
        <f>B26</f>
        <v>0</v>
      </c>
      <c r="C27" s="9"/>
      <c r="D27" s="10"/>
    </row>
    <row r="28" spans="1:7" x14ac:dyDescent="0.25">
      <c r="A28" s="12" t="s">
        <v>454</v>
      </c>
      <c r="B28" s="14">
        <v>194588.79</v>
      </c>
      <c r="C28" s="9"/>
      <c r="D28" s="10"/>
      <c r="E28" s="3">
        <v>197.7</v>
      </c>
    </row>
    <row r="29" spans="1:7" hidden="1" x14ac:dyDescent="0.25">
      <c r="A29" s="12" t="s">
        <v>250</v>
      </c>
      <c r="B29" s="11"/>
      <c r="C29" s="9"/>
      <c r="D29" s="10"/>
    </row>
    <row r="30" spans="1:7" x14ac:dyDescent="0.25">
      <c r="A30" s="196"/>
      <c r="B30" s="11"/>
      <c r="C30" s="9"/>
      <c r="D30" s="10"/>
    </row>
    <row r="31" spans="1:7" x14ac:dyDescent="0.25">
      <c r="A31" s="197" t="s">
        <v>251</v>
      </c>
      <c r="B31" s="11"/>
      <c r="C31" s="9"/>
      <c r="D31" s="10"/>
    </row>
    <row r="32" spans="1:7" s="18" customFormat="1" ht="31.5" x14ac:dyDescent="0.25">
      <c r="A32" s="15" t="s">
        <v>252</v>
      </c>
      <c r="B32" s="14">
        <f>SUM(B33:B41)</f>
        <v>380309.53</v>
      </c>
      <c r="C32" s="9"/>
      <c r="D32" s="10"/>
      <c r="E32" s="17">
        <f>(B24-B86)/1.2/1.03</f>
        <v>127545.17757977982</v>
      </c>
      <c r="F32" s="17" t="e">
        <f>(#REF!-#REF!)/1.2/1.03</f>
        <v>#REF!</v>
      </c>
      <c r="G32" s="17" t="e">
        <f>(#REF!-#REF!)/1.2/1.03</f>
        <v>#REF!</v>
      </c>
    </row>
    <row r="33" spans="1:12" x14ac:dyDescent="0.25">
      <c r="A33" s="19" t="s">
        <v>253</v>
      </c>
      <c r="B33" s="11">
        <v>180351.44</v>
      </c>
      <c r="C33" s="9"/>
      <c r="D33" s="10">
        <v>0</v>
      </c>
    </row>
    <row r="34" spans="1:12" hidden="1" x14ac:dyDescent="0.25">
      <c r="A34" s="19" t="s">
        <v>460</v>
      </c>
      <c r="B34" s="11">
        <v>0</v>
      </c>
      <c r="C34" s="9"/>
      <c r="D34" s="10">
        <v>0</v>
      </c>
    </row>
    <row r="35" spans="1:12" x14ac:dyDescent="0.25">
      <c r="A35" s="19" t="s">
        <v>255</v>
      </c>
      <c r="B35" s="11">
        <v>10853.009999999998</v>
      </c>
      <c r="C35" s="9"/>
      <c r="D35" s="10">
        <v>0</v>
      </c>
    </row>
    <row r="36" spans="1:12" ht="16.5" x14ac:dyDescent="0.25">
      <c r="A36" s="19" t="s">
        <v>256</v>
      </c>
      <c r="B36" s="11">
        <v>7215.6900000000005</v>
      </c>
      <c r="C36" s="9" t="s">
        <v>234</v>
      </c>
      <c r="D36" s="10">
        <v>0</v>
      </c>
      <c r="K36" s="270"/>
      <c r="L36" s="270"/>
    </row>
    <row r="37" spans="1:12" x14ac:dyDescent="0.25">
      <c r="A37" s="19" t="s">
        <v>257</v>
      </c>
      <c r="B37" s="11">
        <v>2359.6999999999998</v>
      </c>
      <c r="C37" s="9"/>
      <c r="D37" s="10">
        <v>0</v>
      </c>
    </row>
    <row r="38" spans="1:12" x14ac:dyDescent="0.25">
      <c r="A38" s="19" t="s">
        <v>392</v>
      </c>
      <c r="B38" s="11">
        <v>89963.760000000009</v>
      </c>
      <c r="C38" s="9"/>
      <c r="D38" s="10">
        <v>0</v>
      </c>
    </row>
    <row r="39" spans="1:12" x14ac:dyDescent="0.25">
      <c r="A39" s="19" t="s">
        <v>335</v>
      </c>
      <c r="B39" s="11">
        <v>43039.33</v>
      </c>
      <c r="C39" s="9"/>
      <c r="D39" s="10">
        <v>0</v>
      </c>
    </row>
    <row r="40" spans="1:12" hidden="1" x14ac:dyDescent="0.25">
      <c r="A40" s="19" t="s">
        <v>461</v>
      </c>
      <c r="B40" s="11"/>
      <c r="C40" s="9"/>
      <c r="D40" s="10"/>
    </row>
    <row r="41" spans="1:12" x14ac:dyDescent="0.25">
      <c r="A41" s="19" t="s">
        <v>339</v>
      </c>
      <c r="B41" s="11">
        <v>46526.6</v>
      </c>
      <c r="C41" s="9"/>
      <c r="D41" s="10"/>
    </row>
    <row r="42" spans="1:12" s="18" customFormat="1" ht="47.25" x14ac:dyDescent="0.25">
      <c r="A42" s="15" t="s">
        <v>261</v>
      </c>
      <c r="B42" s="14">
        <f>SUM(B43:B45)</f>
        <v>423149.2794835465</v>
      </c>
      <c r="C42" s="9"/>
      <c r="D42" s="10"/>
      <c r="E42" s="17"/>
      <c r="F42" s="17"/>
      <c r="G42" s="17"/>
    </row>
    <row r="43" spans="1:12" x14ac:dyDescent="0.25">
      <c r="A43" s="19" t="s">
        <v>262</v>
      </c>
      <c r="B43" s="11">
        <v>38382.959999999999</v>
      </c>
      <c r="C43" s="23"/>
      <c r="D43" s="24"/>
    </row>
    <row r="44" spans="1:12" x14ac:dyDescent="0.25">
      <c r="A44" s="19" t="s">
        <v>263</v>
      </c>
      <c r="B44" s="11">
        <v>339273.24000000005</v>
      </c>
      <c r="C44" s="23"/>
      <c r="D44" s="24"/>
    </row>
    <row r="45" spans="1:12" x14ac:dyDescent="0.25">
      <c r="A45" s="25" t="s">
        <v>264</v>
      </c>
      <c r="B45" s="11">
        <f>('[1]63тарифы'!D163*B13+1200)*1.1194*1.0952</f>
        <v>45493.079483546426</v>
      </c>
      <c r="C45" s="23"/>
      <c r="D45" s="24"/>
    </row>
    <row r="46" spans="1:12" s="4" customFormat="1" x14ac:dyDescent="0.25">
      <c r="A46" s="15" t="s">
        <v>265</v>
      </c>
      <c r="B46" s="14">
        <f>SUM(B47:B65)</f>
        <v>300097.17000000004</v>
      </c>
      <c r="C46" s="9"/>
      <c r="D46" s="10"/>
    </row>
    <row r="47" spans="1:12" x14ac:dyDescent="0.25">
      <c r="A47" s="19" t="s">
        <v>266</v>
      </c>
      <c r="B47" s="11">
        <v>4813.5600000000004</v>
      </c>
      <c r="C47" s="9"/>
      <c r="D47" s="10"/>
      <c r="E47" s="3" t="s">
        <v>267</v>
      </c>
    </row>
    <row r="48" spans="1:12" x14ac:dyDescent="0.25">
      <c r="A48" s="19" t="s">
        <v>268</v>
      </c>
      <c r="B48" s="11">
        <v>5845.14</v>
      </c>
      <c r="C48" s="9"/>
      <c r="D48" s="10"/>
      <c r="E48" s="3" t="s">
        <v>269</v>
      </c>
    </row>
    <row r="49" spans="1:4" x14ac:dyDescent="0.25">
      <c r="A49" s="26" t="s">
        <v>270</v>
      </c>
      <c r="B49" s="10">
        <v>122109.36</v>
      </c>
      <c r="C49" s="9">
        <v>2</v>
      </c>
      <c r="D49" s="10">
        <f>4632.04*2</f>
        <v>9264.08</v>
      </c>
    </row>
    <row r="50" spans="1:4" x14ac:dyDescent="0.25">
      <c r="A50" s="26" t="s">
        <v>281</v>
      </c>
      <c r="B50" s="10">
        <v>1034.3499999999999</v>
      </c>
      <c r="C50" s="9">
        <v>1</v>
      </c>
      <c r="D50" s="10">
        <v>4190</v>
      </c>
    </row>
    <row r="51" spans="1:4" x14ac:dyDescent="0.25">
      <c r="A51" s="26" t="s">
        <v>456</v>
      </c>
      <c r="B51" s="10">
        <v>44382</v>
      </c>
      <c r="C51" s="9">
        <v>1</v>
      </c>
      <c r="D51" s="10">
        <v>13973</v>
      </c>
    </row>
    <row r="52" spans="1:4" ht="16.5" customHeight="1" x14ac:dyDescent="0.25">
      <c r="A52" s="26" t="s">
        <v>526</v>
      </c>
      <c r="B52" s="10">
        <v>4200</v>
      </c>
      <c r="C52" s="9">
        <v>2</v>
      </c>
      <c r="D52" s="10">
        <v>105.14</v>
      </c>
    </row>
    <row r="53" spans="1:4" ht="15" customHeight="1" x14ac:dyDescent="0.25">
      <c r="A53" s="26" t="s">
        <v>518</v>
      </c>
      <c r="B53" s="11">
        <v>80818.13</v>
      </c>
      <c r="C53" s="9">
        <v>0</v>
      </c>
      <c r="D53" s="10">
        <v>522.99</v>
      </c>
    </row>
    <row r="54" spans="1:4" x14ac:dyDescent="0.25">
      <c r="A54" s="26" t="s">
        <v>275</v>
      </c>
      <c r="B54" s="11">
        <v>8133.61</v>
      </c>
      <c r="C54" s="9">
        <v>1</v>
      </c>
      <c r="D54" s="28">
        <v>657.53</v>
      </c>
    </row>
    <row r="55" spans="1:4" x14ac:dyDescent="0.25">
      <c r="A55" s="26" t="s">
        <v>271</v>
      </c>
      <c r="B55" s="10">
        <v>9800</v>
      </c>
      <c r="C55" s="9"/>
      <c r="D55" s="28"/>
    </row>
    <row r="56" spans="1:4" hidden="1" x14ac:dyDescent="0.25">
      <c r="A56" s="26" t="s">
        <v>277</v>
      </c>
      <c r="B56" s="11">
        <v>0</v>
      </c>
      <c r="C56" s="9">
        <v>0</v>
      </c>
      <c r="D56" s="10">
        <f>10695.76/1.18</f>
        <v>9064.203389830509</v>
      </c>
    </row>
    <row r="57" spans="1:4" hidden="1" x14ac:dyDescent="0.25">
      <c r="A57" s="26" t="s">
        <v>312</v>
      </c>
      <c r="B57" s="11">
        <v>0</v>
      </c>
      <c r="C57" s="9">
        <v>0</v>
      </c>
      <c r="D57" s="10">
        <f>2300/1.18</f>
        <v>1949.1525423728815</v>
      </c>
    </row>
    <row r="58" spans="1:4" hidden="1" x14ac:dyDescent="0.25">
      <c r="A58" s="26" t="s">
        <v>313</v>
      </c>
      <c r="B58" s="11">
        <v>0</v>
      </c>
      <c r="C58" s="9">
        <v>0</v>
      </c>
      <c r="D58" s="10">
        <v>0</v>
      </c>
    </row>
    <row r="59" spans="1:4" hidden="1" x14ac:dyDescent="0.25">
      <c r="A59" s="26" t="s">
        <v>278</v>
      </c>
      <c r="B59" s="11">
        <f>B13*'[1]63тарифы'!D184</f>
        <v>0</v>
      </c>
      <c r="C59" s="9"/>
      <c r="D59" s="10"/>
    </row>
    <row r="60" spans="1:4" x14ac:dyDescent="0.25">
      <c r="A60" s="19" t="s">
        <v>314</v>
      </c>
      <c r="B60" s="11">
        <f>VLOOKUP(A5,'[2]МКД 33'!$AI:$FO,137,FALSE)</f>
        <v>18961.02</v>
      </c>
      <c r="C60" s="9"/>
      <c r="D60" s="10"/>
    </row>
    <row r="61" spans="1:4" hidden="1" x14ac:dyDescent="0.25">
      <c r="A61" s="19" t="s">
        <v>280</v>
      </c>
      <c r="B61" s="11">
        <v>0</v>
      </c>
      <c r="C61" s="9"/>
      <c r="D61" s="10">
        <v>0</v>
      </c>
    </row>
    <row r="62" spans="1:4" hidden="1" x14ac:dyDescent="0.25">
      <c r="A62" s="19" t="s">
        <v>336</v>
      </c>
      <c r="B62" s="11">
        <v>0</v>
      </c>
      <c r="C62" s="9"/>
      <c r="D62" s="10">
        <v>0</v>
      </c>
    </row>
    <row r="63" spans="1:4" hidden="1" x14ac:dyDescent="0.25">
      <c r="A63" s="19" t="s">
        <v>325</v>
      </c>
      <c r="B63" s="31">
        <v>0</v>
      </c>
      <c r="C63" s="30">
        <v>1</v>
      </c>
      <c r="D63" s="10">
        <v>0</v>
      </c>
    </row>
    <row r="64" spans="1:4" hidden="1" x14ac:dyDescent="0.25">
      <c r="A64" s="19" t="s">
        <v>344</v>
      </c>
      <c r="B64" s="31">
        <v>0</v>
      </c>
      <c r="C64" s="30">
        <v>230</v>
      </c>
      <c r="D64" s="10">
        <v>0.5</v>
      </c>
    </row>
    <row r="65" spans="1:4" hidden="1" x14ac:dyDescent="0.25">
      <c r="A65" s="19" t="s">
        <v>284</v>
      </c>
      <c r="B65" s="31">
        <v>0</v>
      </c>
      <c r="C65" s="32"/>
      <c r="D65" s="24">
        <v>0</v>
      </c>
    </row>
    <row r="66" spans="1:4" s="4" customFormat="1" x14ac:dyDescent="0.25">
      <c r="A66" s="33" t="s">
        <v>285</v>
      </c>
      <c r="B66" s="14">
        <f>SUM(B67:B74)</f>
        <v>434236.06808795757</v>
      </c>
      <c r="C66" s="23"/>
      <c r="D66" s="24"/>
    </row>
    <row r="67" spans="1:4" hidden="1" x14ac:dyDescent="0.25">
      <c r="A67" s="19" t="s">
        <v>286</v>
      </c>
      <c r="B67" s="11">
        <v>0</v>
      </c>
      <c r="C67" s="23"/>
      <c r="D67" s="24"/>
    </row>
    <row r="68" spans="1:4" x14ac:dyDescent="0.25">
      <c r="A68" s="19" t="s">
        <v>287</v>
      </c>
      <c r="B68" s="11">
        <f>163171.92*1.1194*1.0952</f>
        <v>200043.36966600959</v>
      </c>
      <c r="C68" s="23"/>
      <c r="D68" s="24"/>
    </row>
    <row r="69" spans="1:4" hidden="1" x14ac:dyDescent="0.25">
      <c r="A69" s="19" t="s">
        <v>288</v>
      </c>
      <c r="B69" s="11">
        <v>0</v>
      </c>
      <c r="C69" s="23"/>
      <c r="D69" s="24"/>
    </row>
    <row r="70" spans="1:4" x14ac:dyDescent="0.25">
      <c r="A70" s="25" t="s">
        <v>289</v>
      </c>
      <c r="B70" s="11">
        <f>1.35*B15</f>
        <v>9136.9350000000013</v>
      </c>
      <c r="C70" s="23"/>
      <c r="D70" s="24"/>
    </row>
    <row r="71" spans="1:4" x14ac:dyDescent="0.25">
      <c r="A71" s="25" t="s">
        <v>290</v>
      </c>
      <c r="B71" s="11">
        <f>5.06*B15</f>
        <v>34246.585999999996</v>
      </c>
      <c r="C71" s="23"/>
      <c r="D71" s="24"/>
    </row>
    <row r="72" spans="1:4" x14ac:dyDescent="0.25">
      <c r="A72" s="25" t="s">
        <v>291</v>
      </c>
      <c r="B72" s="11">
        <f>17.68*B15</f>
        <v>119660.008</v>
      </c>
      <c r="C72" s="23"/>
      <c r="D72" s="24"/>
    </row>
    <row r="73" spans="1:4" x14ac:dyDescent="0.25">
      <c r="A73" s="25" t="s">
        <v>292</v>
      </c>
      <c r="B73" s="11">
        <f>11730*1.04*1.1194*1.0952</f>
        <v>14955.815162495999</v>
      </c>
      <c r="C73" s="23"/>
      <c r="D73" s="24"/>
    </row>
    <row r="74" spans="1:4" x14ac:dyDescent="0.25">
      <c r="A74" s="25" t="s">
        <v>459</v>
      </c>
      <c r="B74" s="11">
        <f>(('[1]63тарифы'!D167*B15)+('[1]63тарифы'!D187*B15))*1.1194*1.0952</f>
        <v>56193.354259452026</v>
      </c>
      <c r="C74" s="23"/>
      <c r="D74" s="24"/>
    </row>
    <row r="75" spans="1:4" ht="63" x14ac:dyDescent="0.25">
      <c r="A75" s="34" t="s">
        <v>294</v>
      </c>
      <c r="B75" s="14">
        <f>SUM(B76:B76)</f>
        <v>252127.04339199999</v>
      </c>
      <c r="C75" s="23"/>
      <c r="D75" s="24"/>
    </row>
    <row r="76" spans="1:4" x14ac:dyDescent="0.25">
      <c r="A76" s="25" t="s">
        <v>295</v>
      </c>
      <c r="B76" s="11">
        <f>230210.96*1.0952</f>
        <v>252127.04339199999</v>
      </c>
      <c r="C76" s="23"/>
      <c r="D76" s="24"/>
    </row>
    <row r="77" spans="1:4" s="4" customFormat="1" x14ac:dyDescent="0.25">
      <c r="A77" s="33" t="s">
        <v>296</v>
      </c>
      <c r="B77" s="14">
        <f>SUM(B78:B81)</f>
        <v>252460.19747613327</v>
      </c>
      <c r="C77" s="23"/>
      <c r="D77" s="24"/>
    </row>
    <row r="78" spans="1:4" x14ac:dyDescent="0.25">
      <c r="A78" s="35" t="s">
        <v>297</v>
      </c>
      <c r="B78" s="11">
        <f>'[1]63тарифы'!D170*B15*1.1194*1.0952</f>
        <v>178794.96806681517</v>
      </c>
      <c r="C78" s="23"/>
      <c r="D78" s="24"/>
    </row>
    <row r="79" spans="1:4" hidden="1" x14ac:dyDescent="0.25">
      <c r="A79" s="35" t="s">
        <v>298</v>
      </c>
      <c r="B79" s="11">
        <f>B26/1.2*30%</f>
        <v>0</v>
      </c>
      <c r="C79" s="23"/>
      <c r="D79" s="24"/>
    </row>
    <row r="80" spans="1:4" x14ac:dyDescent="0.25">
      <c r="A80" s="36" t="s">
        <v>299</v>
      </c>
      <c r="B80" s="11">
        <f>31383.78+25996.19</f>
        <v>57379.97</v>
      </c>
      <c r="C80" s="23"/>
      <c r="D80" s="24"/>
    </row>
    <row r="81" spans="1:4" x14ac:dyDescent="0.25">
      <c r="A81" s="36" t="s">
        <v>300</v>
      </c>
      <c r="B81" s="11">
        <f>'[1]63тарифы'!D173*B13*1.1194*1.0952</f>
        <v>16285.259409318092</v>
      </c>
      <c r="C81" s="23">
        <f>B24/100*0.8</f>
        <v>21456.21312</v>
      </c>
      <c r="D81" s="24"/>
    </row>
    <row r="82" spans="1:4" x14ac:dyDescent="0.25">
      <c r="A82" s="37" t="s">
        <v>301</v>
      </c>
      <c r="B82" s="14">
        <f>B32+B42+B46+B66+B75+B77</f>
        <v>2042379.2884396375</v>
      </c>
      <c r="C82" s="23"/>
      <c r="D82" s="24"/>
    </row>
    <row r="83" spans="1:4" x14ac:dyDescent="0.25">
      <c r="A83" s="199" t="s">
        <v>302</v>
      </c>
      <c r="B83" s="11">
        <f>B82*0.03</f>
        <v>61271.378653189124</v>
      </c>
      <c r="C83" s="23"/>
      <c r="D83" s="24"/>
    </row>
    <row r="84" spans="1:4" s="18" customFormat="1" x14ac:dyDescent="0.25">
      <c r="A84" s="176" t="s">
        <v>303</v>
      </c>
      <c r="B84" s="14">
        <f>B82+B83</f>
        <v>2103650.6670928267</v>
      </c>
      <c r="C84" s="23"/>
      <c r="D84" s="24"/>
    </row>
    <row r="85" spans="1:4" ht="16.5" thickBot="1" x14ac:dyDescent="0.3">
      <c r="A85" s="177" t="s">
        <v>304</v>
      </c>
      <c r="B85" s="142">
        <f>B84*0.2</f>
        <v>420730.13341856538</v>
      </c>
      <c r="C85" s="23"/>
      <c r="D85" s="24"/>
    </row>
    <row r="86" spans="1:4" s="4" customFormat="1" ht="16.5" thickBot="1" x14ac:dyDescent="0.3">
      <c r="A86" s="38" t="s">
        <v>305</v>
      </c>
      <c r="B86" s="164">
        <f>B84+B85</f>
        <v>2524380.8005113918</v>
      </c>
      <c r="C86" s="40"/>
      <c r="D86" s="41"/>
    </row>
    <row r="87" spans="1:4" s="4" customFormat="1" ht="16.5" thickBot="1" x14ac:dyDescent="0.3">
      <c r="A87" s="42" t="s">
        <v>306</v>
      </c>
      <c r="B87" s="164">
        <f>B10+B24+B26+B28+B29-B86</f>
        <v>8625774.6494886074</v>
      </c>
      <c r="C87" s="43"/>
      <c r="D87" s="43"/>
    </row>
    <row r="88" spans="1:4" s="4" customFormat="1" ht="16.5" hidden="1" thickBot="1" x14ac:dyDescent="0.3">
      <c r="A88" s="44" t="s">
        <v>307</v>
      </c>
      <c r="B88" s="164"/>
      <c r="C88" s="43"/>
      <c r="D88" s="43"/>
    </row>
    <row r="89" spans="1:4" s="4" customFormat="1" ht="16.5" hidden="1" thickBot="1" x14ac:dyDescent="0.3">
      <c r="A89" s="45" t="s">
        <v>308</v>
      </c>
      <c r="B89" s="46"/>
      <c r="C89" s="43"/>
      <c r="D89" s="43"/>
    </row>
    <row r="90" spans="1:4" s="4" customFormat="1" x14ac:dyDescent="0.25">
      <c r="A90" s="47"/>
      <c r="B90" s="240"/>
      <c r="C90" s="43"/>
      <c r="D90" s="43"/>
    </row>
    <row r="91" spans="1:4" x14ac:dyDescent="0.25">
      <c r="A91" s="49"/>
    </row>
    <row r="92" spans="1:4" x14ac:dyDescent="0.25">
      <c r="A92" s="267" t="s">
        <v>543</v>
      </c>
      <c r="B92" s="267"/>
    </row>
    <row r="93" spans="1:4" x14ac:dyDescent="0.25">
      <c r="A93" s="49"/>
      <c r="B93" s="51"/>
    </row>
    <row r="94" spans="1:4" x14ac:dyDescent="0.25">
      <c r="A94" s="268"/>
      <c r="B94" s="268"/>
      <c r="C94" s="51"/>
    </row>
  </sheetData>
  <autoFilter ref="A32:B89" xr:uid="{00000000-0009-0000-0000-000025000000}">
    <filterColumn colId="1">
      <filters>
        <filter val="1 034,35"/>
        <filter val="10 853,01"/>
        <filter val="119 660,01"/>
        <filter val="122 109,36"/>
        <filter val="14 955,82"/>
        <filter val="16 285,26"/>
        <filter val="178 794,97"/>
        <filter val="18 961,02"/>
        <filter val="180 351,44"/>
        <filter val="2 042 379,29"/>
        <filter val="2 103 650,67"/>
        <filter val="2 359,70"/>
        <filter val="2 524 380,80"/>
        <filter val="200 043,37"/>
        <filter val="252 127,04"/>
        <filter val="252 460,20"/>
        <filter val="300 097,17"/>
        <filter val="339 273,24"/>
        <filter val="34 246,59"/>
        <filter val="38 382,96"/>
        <filter val="4 200,00"/>
        <filter val="4 813,56"/>
        <filter val="420 730,13"/>
        <filter val="423 149,28"/>
        <filter val="43 039,33"/>
        <filter val="434 236,07"/>
        <filter val="44 382,00"/>
        <filter val="45 493,08"/>
        <filter val="46 526,60"/>
        <filter val="5 845,14"/>
        <filter val="56 193,35"/>
        <filter val="57 379,97"/>
        <filter val="61 271,38"/>
        <filter val="7 215,69"/>
        <filter val="8 133,61"/>
        <filter val="8 625 774,65"/>
        <filter val="80 818,13"/>
        <filter val="89 963,76"/>
        <filter val="9 136,94"/>
        <filter val="9 800,00"/>
      </filters>
    </filterColumn>
  </autoFilter>
  <mergeCells count="10">
    <mergeCell ref="K36:L36"/>
    <mergeCell ref="A92:B92"/>
    <mergeCell ref="A94:B94"/>
    <mergeCell ref="C8:C9"/>
    <mergeCell ref="A1:B1"/>
    <mergeCell ref="A2:B2"/>
    <mergeCell ref="A3:B3"/>
    <mergeCell ref="A8:A9"/>
    <mergeCell ref="B8:B9"/>
    <mergeCell ref="D8:D9"/>
  </mergeCells>
  <phoneticPr fontId="43" type="noConversion"/>
  <pageMargins left="0.78740157480314965" right="0.78740157480314965" top="0.35433070866141736" bottom="0.15748031496062992" header="0.31496062992125984" footer="0.31496062992125984"/>
  <pageSetup paperSize="9" scale="74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filterMode="1">
    <pageSetUpPr fitToPage="1"/>
  </sheetPr>
  <dimension ref="A1:G92"/>
  <sheetViews>
    <sheetView view="pageBreakPreview" topLeftCell="A55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106</v>
      </c>
      <c r="B5" s="185"/>
      <c r="C5" s="3"/>
      <c r="D5" s="3"/>
    </row>
    <row r="6" spans="1:4" ht="5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71" t="s">
        <v>227</v>
      </c>
      <c r="B8" s="273" t="s">
        <v>228</v>
      </c>
      <c r="C8" s="265" t="s">
        <v>229</v>
      </c>
      <c r="D8" s="265" t="s">
        <v>230</v>
      </c>
    </row>
    <row r="9" spans="1:4" ht="13.5" thickBot="1" x14ac:dyDescent="0.25">
      <c r="A9" s="272"/>
      <c r="B9" s="274"/>
      <c r="C9" s="266"/>
      <c r="D9" s="266"/>
    </row>
    <row r="10" spans="1:4" ht="16.5" thickBot="1" x14ac:dyDescent="0.25">
      <c r="A10" s="187" t="s">
        <v>231</v>
      </c>
      <c r="B10" s="188">
        <f>VLOOKUP(A5,мкд!S:T,2,FALSE)</f>
        <v>-1105240.4099999999</v>
      </c>
      <c r="C10" s="189"/>
      <c r="D10" s="189"/>
    </row>
    <row r="11" spans="1:4" ht="16.5" hidden="1" thickBot="1" x14ac:dyDescent="0.25">
      <c r="A11" s="190" t="s">
        <v>232</v>
      </c>
      <c r="B11" s="188"/>
      <c r="C11" s="191"/>
      <c r="D11" s="191"/>
    </row>
    <row r="12" spans="1:4" ht="15.75" x14ac:dyDescent="0.25">
      <c r="A12" s="192" t="s">
        <v>233</v>
      </c>
      <c r="B12" s="193"/>
      <c r="C12" s="5" t="s">
        <v>234</v>
      </c>
      <c r="D12" s="6" t="s">
        <v>234</v>
      </c>
    </row>
    <row r="13" spans="1:4" ht="15.75" hidden="1" x14ac:dyDescent="0.25">
      <c r="A13" s="7" t="s">
        <v>235</v>
      </c>
      <c r="B13" s="8">
        <v>879</v>
      </c>
      <c r="C13" s="9" t="s">
        <v>234</v>
      </c>
      <c r="D13" s="10" t="s">
        <v>234</v>
      </c>
    </row>
    <row r="14" spans="1:4" ht="15.75" hidden="1" x14ac:dyDescent="0.25">
      <c r="A14" s="7" t="s">
        <v>236</v>
      </c>
      <c r="B14" s="8">
        <v>0</v>
      </c>
      <c r="C14" s="9"/>
      <c r="D14" s="10"/>
    </row>
    <row r="15" spans="1:4" ht="15.75" hidden="1" x14ac:dyDescent="0.25">
      <c r="A15" s="7" t="s">
        <v>237</v>
      </c>
      <c r="B15" s="8">
        <f>B13+B14</f>
        <v>879</v>
      </c>
      <c r="C15" s="9"/>
      <c r="D15" s="10"/>
    </row>
    <row r="16" spans="1:4" ht="15.75" hidden="1" x14ac:dyDescent="0.25">
      <c r="A16" s="7" t="s">
        <v>238</v>
      </c>
      <c r="B16" s="8">
        <f>710.92+329.61/3</f>
        <v>820.79</v>
      </c>
      <c r="C16" s="9" t="s">
        <v>234</v>
      </c>
      <c r="D16" s="10" t="s">
        <v>234</v>
      </c>
    </row>
    <row r="17" spans="1:7" ht="15.75" hidden="1" x14ac:dyDescent="0.25">
      <c r="A17" s="7" t="s">
        <v>239</v>
      </c>
      <c r="B17" s="8">
        <v>0</v>
      </c>
      <c r="C17" s="9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7" t="s">
        <v>240</v>
      </c>
      <c r="B18" s="8">
        <v>0</v>
      </c>
      <c r="C18" s="9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7" t="s">
        <v>241</v>
      </c>
      <c r="B19" s="8">
        <v>0</v>
      </c>
      <c r="C19" s="9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7" t="s">
        <v>242</v>
      </c>
      <c r="B20" s="8">
        <v>708</v>
      </c>
      <c r="C20" s="9"/>
      <c r="D20" s="10"/>
      <c r="E20" s="3"/>
      <c r="F20" s="3"/>
      <c r="G20" s="3"/>
    </row>
    <row r="21" spans="1:7" ht="15.75" hidden="1" x14ac:dyDescent="0.25">
      <c r="A21" s="7" t="s">
        <v>243</v>
      </c>
      <c r="B21" s="8">
        <v>0</v>
      </c>
      <c r="C21" s="9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7" t="s">
        <v>244</v>
      </c>
      <c r="B22" s="8">
        <v>51</v>
      </c>
      <c r="C22" s="9"/>
      <c r="D22" s="10"/>
      <c r="E22" s="3"/>
      <c r="F22" s="3"/>
      <c r="G22" s="3"/>
    </row>
    <row r="23" spans="1:7" ht="15.75" x14ac:dyDescent="0.25">
      <c r="A23" s="7"/>
      <c r="B23" s="11"/>
      <c r="C23" s="9"/>
      <c r="D23" s="10"/>
      <c r="E23" s="3">
        <v>10</v>
      </c>
      <c r="F23" s="3">
        <v>2</v>
      </c>
      <c r="G23" s="3"/>
    </row>
    <row r="24" spans="1:7" ht="15.75" x14ac:dyDescent="0.25">
      <c r="A24" s="257" t="s">
        <v>245</v>
      </c>
      <c r="B24" s="255">
        <f>VLOOKUP(A5,мкд!W:X,2,FALSE)</f>
        <v>468471.78</v>
      </c>
      <c r="C24" s="9"/>
      <c r="D24" s="10"/>
      <c r="E24" s="194">
        <v>39.190000000000005</v>
      </c>
      <c r="F24" s="195">
        <v>43.869286000000002</v>
      </c>
      <c r="G24" s="3"/>
    </row>
    <row r="25" spans="1:7" ht="15.75" x14ac:dyDescent="0.25">
      <c r="A25" s="12" t="s">
        <v>246</v>
      </c>
      <c r="B25" s="14">
        <f>VLOOKUP(A5,мкд!W:Y,3,FALSE)</f>
        <v>423918.16000000003</v>
      </c>
      <c r="C25" s="9"/>
      <c r="D25" s="10"/>
      <c r="E25" s="3"/>
      <c r="F25" s="3"/>
      <c r="G25" s="3"/>
    </row>
    <row r="26" spans="1:7" ht="15.75" hidden="1" x14ac:dyDescent="0.25">
      <c r="A26" s="12" t="s">
        <v>247</v>
      </c>
      <c r="B26" s="13"/>
      <c r="C26" s="9"/>
      <c r="D26" s="10"/>
      <c r="E26" s="3"/>
      <c r="F26" s="3"/>
      <c r="G26" s="3"/>
    </row>
    <row r="27" spans="1:7" ht="15.75" hidden="1" x14ac:dyDescent="0.25">
      <c r="A27" s="12" t="s">
        <v>248</v>
      </c>
      <c r="B27" s="13">
        <f>B26</f>
        <v>0</v>
      </c>
      <c r="C27" s="9"/>
      <c r="D27" s="10"/>
      <c r="E27" s="3"/>
      <c r="F27" s="3"/>
      <c r="G27" s="3"/>
    </row>
    <row r="28" spans="1:7" ht="15.75" hidden="1" x14ac:dyDescent="0.25">
      <c r="A28" s="12" t="s">
        <v>249</v>
      </c>
      <c r="B28" s="14"/>
      <c r="C28" s="9"/>
      <c r="D28" s="10"/>
      <c r="E28" s="3"/>
      <c r="F28" s="3"/>
      <c r="G28" s="3"/>
    </row>
    <row r="29" spans="1:7" ht="15.75" hidden="1" x14ac:dyDescent="0.25">
      <c r="A29" s="12" t="s">
        <v>250</v>
      </c>
      <c r="B29" s="8"/>
      <c r="C29" s="9"/>
      <c r="D29" s="10"/>
      <c r="E29" s="3"/>
      <c r="F29" s="3"/>
      <c r="G29" s="3"/>
    </row>
    <row r="30" spans="1:7" ht="15.75" x14ac:dyDescent="0.25">
      <c r="A30" s="196"/>
      <c r="B30" s="11"/>
      <c r="C30" s="9"/>
      <c r="D30" s="10"/>
      <c r="E30" s="3"/>
      <c r="F30" s="3"/>
      <c r="G30" s="3"/>
    </row>
    <row r="31" spans="1:7" ht="15.75" x14ac:dyDescent="0.25">
      <c r="A31" s="197" t="s">
        <v>251</v>
      </c>
      <c r="B31" s="11"/>
      <c r="C31" s="9"/>
      <c r="D31" s="10"/>
      <c r="E31" s="3"/>
      <c r="F31" s="3"/>
      <c r="G31" s="3"/>
    </row>
    <row r="32" spans="1:7" s="18" customFormat="1" ht="31.5" x14ac:dyDescent="0.25">
      <c r="A32" s="15" t="s">
        <v>252</v>
      </c>
      <c r="B32" s="121">
        <f>SUM(B33:B37)</f>
        <v>64252.354896000004</v>
      </c>
      <c r="C32" s="9"/>
      <c r="D32" s="10"/>
      <c r="E32" s="17">
        <f>(B24-B66)/1.2/1.03</f>
        <v>-10742.676795185447</v>
      </c>
      <c r="F32" s="17" t="e">
        <f>(#REF!-#REF!)/1.2/1.03</f>
        <v>#REF!</v>
      </c>
      <c r="G32" s="17" t="e">
        <f>(#REF!-#REF!)/1.2/1.03</f>
        <v>#REF!</v>
      </c>
    </row>
    <row r="33" spans="1:7" ht="15.75" x14ac:dyDescent="0.25">
      <c r="A33" s="19" t="s">
        <v>253</v>
      </c>
      <c r="B33" s="11">
        <f>49033.98*1.0952</f>
        <v>53702.014896000001</v>
      </c>
      <c r="C33" s="9"/>
      <c r="D33" s="10">
        <v>12691.78</v>
      </c>
      <c r="E33" s="3"/>
      <c r="F33" s="3"/>
      <c r="G33" s="3"/>
    </row>
    <row r="34" spans="1:7" ht="15.75" hidden="1" x14ac:dyDescent="0.25">
      <c r="A34" s="19" t="s">
        <v>492</v>
      </c>
      <c r="B34" s="11"/>
      <c r="C34" s="9"/>
      <c r="D34" s="10">
        <v>0</v>
      </c>
      <c r="E34" s="3"/>
      <c r="F34" s="3"/>
      <c r="G34" s="3"/>
    </row>
    <row r="35" spans="1:7" ht="15.75" x14ac:dyDescent="0.25">
      <c r="A35" s="71" t="s">
        <v>255</v>
      </c>
      <c r="B35" s="117">
        <v>2009.05</v>
      </c>
      <c r="C35" s="9"/>
      <c r="D35" s="10">
        <v>0</v>
      </c>
      <c r="E35" s="3"/>
      <c r="F35" s="3"/>
      <c r="G35" s="3"/>
    </row>
    <row r="36" spans="1:7" ht="15.75" x14ac:dyDescent="0.25">
      <c r="A36" s="71" t="s">
        <v>335</v>
      </c>
      <c r="B36" s="117">
        <v>8541.2900000000009</v>
      </c>
      <c r="C36" s="9" t="s">
        <v>234</v>
      </c>
      <c r="D36" s="10">
        <v>0</v>
      </c>
      <c r="E36" s="3"/>
      <c r="F36" s="3"/>
      <c r="G36" s="3"/>
    </row>
    <row r="37" spans="1:7" ht="15.75" hidden="1" x14ac:dyDescent="0.25">
      <c r="A37" s="71" t="s">
        <v>493</v>
      </c>
      <c r="B37" s="118"/>
      <c r="C37" s="9"/>
      <c r="D37" s="10">
        <v>0</v>
      </c>
      <c r="E37" s="3"/>
      <c r="F37" s="3"/>
      <c r="G37" s="3"/>
    </row>
    <row r="38" spans="1:7" s="18" customFormat="1" ht="47.25" x14ac:dyDescent="0.25">
      <c r="A38" s="15" t="s">
        <v>261</v>
      </c>
      <c r="B38" s="121">
        <f>SUM(B39:B41)</f>
        <v>128165.0972</v>
      </c>
      <c r="C38" s="9"/>
      <c r="D38" s="10"/>
      <c r="E38" s="17"/>
      <c r="F38" s="17"/>
      <c r="G38" s="17"/>
    </row>
    <row r="39" spans="1:7" ht="15.75" hidden="1" x14ac:dyDescent="0.25">
      <c r="A39" s="19" t="s">
        <v>262</v>
      </c>
      <c r="B39" s="8"/>
      <c r="C39" s="23"/>
      <c r="D39" s="24"/>
      <c r="E39" s="3"/>
      <c r="F39" s="3"/>
      <c r="G39" s="3"/>
    </row>
    <row r="40" spans="1:7" ht="15.75" x14ac:dyDescent="0.25">
      <c r="A40" s="19" t="s">
        <v>263</v>
      </c>
      <c r="B40" s="11">
        <v>122458.01000000001</v>
      </c>
      <c r="C40" s="23"/>
      <c r="D40" s="24"/>
      <c r="E40" s="3"/>
      <c r="F40" s="3"/>
      <c r="G40" s="3"/>
    </row>
    <row r="41" spans="1:7" ht="15.75" x14ac:dyDescent="0.25">
      <c r="A41" s="25" t="s">
        <v>264</v>
      </c>
      <c r="B41" s="8">
        <f>5211*1.0952</f>
        <v>5707.0871999999999</v>
      </c>
      <c r="C41" s="23"/>
      <c r="D41" s="24"/>
      <c r="E41" s="3"/>
      <c r="F41" s="3"/>
      <c r="G41" s="3"/>
    </row>
    <row r="42" spans="1:7" ht="15.75" x14ac:dyDescent="0.25">
      <c r="A42" s="25" t="s">
        <v>314</v>
      </c>
      <c r="B42" s="11">
        <f>VLOOKUP(A5,'[2]МКД 33'!$AI:$FO,137,FALSE)</f>
        <v>5084.6400000000003</v>
      </c>
      <c r="C42" s="23"/>
      <c r="D42" s="24"/>
      <c r="E42" s="3"/>
      <c r="F42" s="3"/>
      <c r="G42" s="3"/>
    </row>
    <row r="43" spans="1:7" s="4" customFormat="1" ht="15.75" x14ac:dyDescent="0.25">
      <c r="A43" s="15" t="s">
        <v>265</v>
      </c>
      <c r="B43" s="121">
        <f>SUM(B44:B46)</f>
        <v>12422.720000000001</v>
      </c>
      <c r="C43" s="9"/>
      <c r="D43" s="10"/>
    </row>
    <row r="44" spans="1:7" ht="15.75" x14ac:dyDescent="0.25">
      <c r="A44" s="26" t="s">
        <v>520</v>
      </c>
      <c r="B44" s="11">
        <v>4200</v>
      </c>
      <c r="C44" s="9">
        <v>0</v>
      </c>
      <c r="D44" s="10">
        <v>522.99</v>
      </c>
      <c r="E44" s="3"/>
      <c r="F44" s="3"/>
      <c r="G44" s="3"/>
    </row>
    <row r="45" spans="1:7" ht="15.75" x14ac:dyDescent="0.25">
      <c r="A45" s="26" t="s">
        <v>275</v>
      </c>
      <c r="B45" s="11">
        <v>8133.61</v>
      </c>
      <c r="C45" s="9"/>
      <c r="D45" s="28"/>
      <c r="E45" s="3"/>
      <c r="F45" s="3"/>
      <c r="G45" s="3"/>
    </row>
    <row r="46" spans="1:7" ht="15.75" x14ac:dyDescent="0.25">
      <c r="A46" s="19" t="s">
        <v>281</v>
      </c>
      <c r="B46" s="31">
        <v>89.11</v>
      </c>
      <c r="C46" s="32"/>
      <c r="D46" s="24">
        <v>0</v>
      </c>
      <c r="E46" s="3"/>
      <c r="F46" s="3"/>
      <c r="G46" s="3"/>
    </row>
    <row r="47" spans="1:7" s="4" customFormat="1" ht="15.75" x14ac:dyDescent="0.25">
      <c r="A47" s="33" t="s">
        <v>285</v>
      </c>
      <c r="B47" s="121">
        <f>SUM(B48:B54)</f>
        <v>81814.146000000008</v>
      </c>
      <c r="C47" s="23"/>
      <c r="D47" s="24"/>
    </row>
    <row r="48" spans="1:7" ht="15.75" hidden="1" x14ac:dyDescent="0.25">
      <c r="A48" s="19" t="s">
        <v>286</v>
      </c>
      <c r="B48" s="11">
        <v>0</v>
      </c>
      <c r="C48" s="23"/>
      <c r="D48" s="24"/>
      <c r="E48" s="3"/>
      <c r="F48" s="3"/>
      <c r="G48" s="3"/>
    </row>
    <row r="49" spans="1:7" ht="15.75" x14ac:dyDescent="0.25">
      <c r="A49" s="19" t="s">
        <v>287</v>
      </c>
      <c r="B49" s="8">
        <f>32654*1.0952</f>
        <v>35762.660799999998</v>
      </c>
      <c r="C49" s="23"/>
      <c r="D49" s="24"/>
      <c r="E49" s="3"/>
      <c r="F49" s="3"/>
      <c r="G49" s="3"/>
    </row>
    <row r="50" spans="1:7" ht="15.75" x14ac:dyDescent="0.25">
      <c r="A50" s="25" t="s">
        <v>289</v>
      </c>
      <c r="B50" s="11">
        <f>1.35*B15</f>
        <v>1186.6500000000001</v>
      </c>
      <c r="C50" s="23"/>
      <c r="D50" s="24"/>
      <c r="E50" s="3"/>
      <c r="F50" s="3"/>
      <c r="G50" s="3"/>
    </row>
    <row r="51" spans="1:7" ht="15.75" x14ac:dyDescent="0.25">
      <c r="A51" s="25" t="s">
        <v>290</v>
      </c>
      <c r="B51" s="8">
        <f>5.06*B15</f>
        <v>4447.74</v>
      </c>
      <c r="C51" s="23"/>
      <c r="D51" s="24"/>
    </row>
    <row r="52" spans="1:7" ht="15.75" x14ac:dyDescent="0.25">
      <c r="A52" s="25" t="s">
        <v>291</v>
      </c>
      <c r="B52" s="8">
        <f>17.68*B15</f>
        <v>15540.72</v>
      </c>
      <c r="C52" s="23"/>
      <c r="D52" s="24"/>
    </row>
    <row r="53" spans="1:7" ht="15.75" x14ac:dyDescent="0.25">
      <c r="A53" s="25" t="s">
        <v>292</v>
      </c>
      <c r="B53" s="8">
        <f>2301*1.0952</f>
        <v>2520.0551999999998</v>
      </c>
      <c r="C53" s="23"/>
      <c r="D53" s="24"/>
    </row>
    <row r="54" spans="1:7" ht="15.75" x14ac:dyDescent="0.25">
      <c r="A54" s="25" t="s">
        <v>293</v>
      </c>
      <c r="B54" s="8">
        <v>22356.32</v>
      </c>
      <c r="C54" s="23">
        <f>3.52*B16</f>
        <v>2889.1808000000001</v>
      </c>
      <c r="D54" s="24"/>
    </row>
    <row r="55" spans="1:7" ht="63" x14ac:dyDescent="0.25">
      <c r="A55" s="34" t="s">
        <v>294</v>
      </c>
      <c r="B55" s="16">
        <f>SUM(B56:B56)</f>
        <v>74289.083227340816</v>
      </c>
      <c r="C55" s="23"/>
      <c r="D55" s="24"/>
    </row>
    <row r="56" spans="1:7" ht="15.75" x14ac:dyDescent="0.25">
      <c r="A56" s="25" t="s">
        <v>295</v>
      </c>
      <c r="B56" s="8">
        <f>58234.48*1.04*1.12*1.0952</f>
        <v>74289.083227340816</v>
      </c>
      <c r="C56" s="23"/>
      <c r="D56" s="24"/>
    </row>
    <row r="57" spans="1:7" s="4" customFormat="1" ht="15.75" x14ac:dyDescent="0.25">
      <c r="A57" s="33" t="s">
        <v>296</v>
      </c>
      <c r="B57" s="121">
        <f>SUM(B58:B61)</f>
        <v>28821.751199999999</v>
      </c>
      <c r="C57" s="23"/>
      <c r="D57" s="24"/>
    </row>
    <row r="58" spans="1:7" ht="15.75" x14ac:dyDescent="0.25">
      <c r="A58" s="35" t="s">
        <v>297</v>
      </c>
      <c r="B58" s="8">
        <f>18456*1.0952</f>
        <v>20213.011200000001</v>
      </c>
      <c r="C58" s="23"/>
      <c r="D58" s="24"/>
    </row>
    <row r="59" spans="1:7" ht="15.75" hidden="1" x14ac:dyDescent="0.25">
      <c r="A59" s="35" t="s">
        <v>298</v>
      </c>
      <c r="B59" s="11">
        <f>(B26/1.2)*30%</f>
        <v>0</v>
      </c>
      <c r="C59" s="23"/>
      <c r="D59" s="24"/>
    </row>
    <row r="60" spans="1:7" ht="15.75" x14ac:dyDescent="0.25">
      <c r="A60" s="36" t="s">
        <v>299</v>
      </c>
      <c r="B60" s="8">
        <f>2042.5+2741.03</f>
        <v>4783.5300000000007</v>
      </c>
      <c r="C60" s="23"/>
      <c r="D60" s="24"/>
    </row>
    <row r="61" spans="1:7" ht="15.75" x14ac:dyDescent="0.25">
      <c r="A61" s="36" t="s">
        <v>300</v>
      </c>
      <c r="B61" s="8">
        <f>3825.21</f>
        <v>3825.21</v>
      </c>
      <c r="C61" s="23">
        <f>B24/100*0.8</f>
        <v>3747.7742400000006</v>
      </c>
      <c r="D61" s="24"/>
    </row>
    <row r="62" spans="1:7" ht="15.75" x14ac:dyDescent="0.25">
      <c r="A62" s="37" t="s">
        <v>301</v>
      </c>
      <c r="B62" s="14">
        <f>B32+B38+B43+B47+B55+B57</f>
        <v>389765.15252334083</v>
      </c>
      <c r="C62" s="23"/>
      <c r="D62" s="24"/>
    </row>
    <row r="63" spans="1:7" ht="15.75" x14ac:dyDescent="0.25">
      <c r="A63" s="199" t="s">
        <v>302</v>
      </c>
      <c r="B63" s="11">
        <f>B62*0.03</f>
        <v>11692.954575700225</v>
      </c>
      <c r="C63" s="23"/>
      <c r="D63" s="24"/>
    </row>
    <row r="64" spans="1:7" s="18" customFormat="1" ht="15.75" x14ac:dyDescent="0.25">
      <c r="A64" s="176" t="s">
        <v>303</v>
      </c>
      <c r="B64" s="121">
        <f>B62+B63</f>
        <v>401458.10709904105</v>
      </c>
      <c r="C64" s="23"/>
      <c r="D64" s="24"/>
    </row>
    <row r="65" spans="1:4" ht="16.5" thickBot="1" x14ac:dyDescent="0.3">
      <c r="A65" s="177" t="s">
        <v>304</v>
      </c>
      <c r="B65" s="142">
        <f>B64*0.2</f>
        <v>80291.621419808216</v>
      </c>
      <c r="C65" s="23"/>
      <c r="D65" s="24"/>
    </row>
    <row r="66" spans="1:4" s="4" customFormat="1" ht="16.5" thickBot="1" x14ac:dyDescent="0.3">
      <c r="A66" s="38" t="s">
        <v>305</v>
      </c>
      <c r="B66" s="46">
        <f>B64+B65</f>
        <v>481749.72851884924</v>
      </c>
      <c r="C66" s="40"/>
      <c r="D66" s="41"/>
    </row>
    <row r="67" spans="1:4" s="4" customFormat="1" ht="16.5" thickBot="1" x14ac:dyDescent="0.3">
      <c r="A67" s="42" t="s">
        <v>306</v>
      </c>
      <c r="B67" s="46">
        <f>B10+B24+B26+B28+B29-B66</f>
        <v>-1118518.3585188491</v>
      </c>
      <c r="C67" s="43"/>
      <c r="D67" s="43"/>
    </row>
    <row r="68" spans="1:4" s="4" customFormat="1" ht="16.5" hidden="1" thickBot="1" x14ac:dyDescent="0.3">
      <c r="A68" s="44" t="s">
        <v>307</v>
      </c>
      <c r="B68" s="46"/>
      <c r="C68" s="43"/>
      <c r="D68" s="43"/>
    </row>
    <row r="69" spans="1:4" s="4" customFormat="1" ht="16.5" hidden="1" thickBot="1" x14ac:dyDescent="0.3">
      <c r="A69" s="45" t="s">
        <v>308</v>
      </c>
      <c r="B69" s="46"/>
      <c r="C69" s="43"/>
      <c r="D69" s="43"/>
    </row>
    <row r="70" spans="1:4" s="4" customFormat="1" ht="15.75" x14ac:dyDescent="0.25">
      <c r="A70" s="47"/>
      <c r="B70" s="200"/>
      <c r="C70" s="43"/>
      <c r="D70" s="43"/>
    </row>
    <row r="71" spans="1:4" ht="15.75" x14ac:dyDescent="0.25">
      <c r="A71" s="49"/>
      <c r="B71" s="3"/>
      <c r="C71" s="3"/>
      <c r="D71" s="3"/>
    </row>
    <row r="72" spans="1:4" ht="15.75" x14ac:dyDescent="0.25">
      <c r="A72" s="267" t="s">
        <v>540</v>
      </c>
      <c r="B72" s="267"/>
      <c r="C72" s="3"/>
      <c r="D72" s="3"/>
    </row>
    <row r="73" spans="1:4" ht="15.75" x14ac:dyDescent="0.25">
      <c r="A73" s="49"/>
      <c r="B73" s="51"/>
      <c r="C73" s="3"/>
      <c r="D73" s="3"/>
    </row>
    <row r="74" spans="1:4" ht="15.75" x14ac:dyDescent="0.25">
      <c r="A74" s="268"/>
      <c r="B74" s="268"/>
      <c r="C74" s="51"/>
      <c r="D74" s="3"/>
    </row>
    <row r="89" spans="2:2" x14ac:dyDescent="0.2">
      <c r="B89" s="170"/>
    </row>
    <row r="91" spans="2:2" ht="15.75" hidden="1" x14ac:dyDescent="0.25">
      <c r="B91" s="3"/>
    </row>
    <row r="92" spans="2:2" ht="15.75" x14ac:dyDescent="0.25">
      <c r="B92" s="3"/>
    </row>
  </sheetData>
  <autoFilter ref="A32:B69" xr:uid="{00000000-0009-0000-0000-000026000000}">
    <filterColumn colId="1">
      <filters>
        <filter val="-1 118 518,36"/>
        <filter val="1 186,65"/>
        <filter val="11 692,95"/>
        <filter val="12 422,72"/>
        <filter val="122 458,01"/>
        <filter val="128 165,10"/>
        <filter val="15 540,72"/>
        <filter val="2 520,06"/>
        <filter val="20 213,01"/>
        <filter val="2009,05"/>
        <filter val="22 356,32"/>
        <filter val="28 821,75"/>
        <filter val="3 825,21"/>
        <filter val="35 762,66"/>
        <filter val="389 765,15"/>
        <filter val="4 200,00"/>
        <filter val="4 447,74"/>
        <filter val="4 783,53"/>
        <filter val="401 458,11"/>
        <filter val="481 749,73"/>
        <filter val="5 084,64"/>
        <filter val="5 707,09"/>
        <filter val="53 702,01"/>
        <filter val="74 289,08"/>
        <filter val="8 133,61"/>
        <filter val="80 291,62"/>
        <filter val="81 814,15"/>
        <filter val="8541,29"/>
        <filter val="89,11"/>
      </filters>
    </filterColumn>
  </autoFilter>
  <mergeCells count="9">
    <mergeCell ref="D8:D9"/>
    <mergeCell ref="A72:B72"/>
    <mergeCell ref="A74:B74"/>
    <mergeCell ref="A1:B1"/>
    <mergeCell ref="A2:B2"/>
    <mergeCell ref="A3:B3"/>
    <mergeCell ref="A8:A9"/>
    <mergeCell ref="B8:B9"/>
    <mergeCell ref="C8:C9"/>
  </mergeCells>
  <phoneticPr fontId="43" type="noConversion"/>
  <pageMargins left="0.9055118110236221" right="0.9055118110236221" top="0.74803149606299213" bottom="0.74803149606299213" header="0.31496062992125984" footer="0.31496062992125984"/>
  <pageSetup paperSize="9" scale="8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G93"/>
  <sheetViews>
    <sheetView view="pageBreakPreview" topLeftCell="A72" zoomScale="70" zoomScaleNormal="100" zoomScaleSheetLayoutView="70" workbookViewId="0">
      <selection activeCell="A24" sqref="A24:B24"/>
    </sheetView>
  </sheetViews>
  <sheetFormatPr defaultRowHeight="15.75" x14ac:dyDescent="0.25"/>
  <cols>
    <col min="1" max="1" width="91.5703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269" t="s">
        <v>224</v>
      </c>
      <c r="B1" s="269"/>
    </row>
    <row r="2" spans="1:4" ht="16.5" x14ac:dyDescent="0.25">
      <c r="A2" s="270" t="s">
        <v>225</v>
      </c>
      <c r="B2" s="270"/>
    </row>
    <row r="3" spans="1:4" ht="16.5" x14ac:dyDescent="0.25">
      <c r="A3" s="270" t="s">
        <v>226</v>
      </c>
      <c r="B3" s="270"/>
    </row>
    <row r="4" spans="1:4" x14ac:dyDescent="0.25">
      <c r="A4" s="184" t="s">
        <v>494</v>
      </c>
      <c r="B4" s="184"/>
    </row>
    <row r="5" spans="1:4" ht="18" customHeight="1" x14ac:dyDescent="0.25">
      <c r="A5" s="184" t="s">
        <v>3</v>
      </c>
      <c r="B5" s="185"/>
    </row>
    <row r="6" spans="1:4" ht="18" customHeight="1" x14ac:dyDescent="0.25">
      <c r="A6" s="184"/>
      <c r="B6" s="4"/>
      <c r="C6" s="4"/>
    </row>
    <row r="7" spans="1:4" ht="18" customHeight="1" thickBot="1" x14ac:dyDescent="0.3">
      <c r="A7" s="186"/>
      <c r="B7" s="4"/>
      <c r="C7" s="4"/>
    </row>
    <row r="8" spans="1:4" ht="18" customHeight="1" x14ac:dyDescent="0.25">
      <c r="A8" s="271" t="s">
        <v>227</v>
      </c>
      <c r="B8" s="273" t="s">
        <v>228</v>
      </c>
      <c r="C8" s="265" t="s">
        <v>229</v>
      </c>
      <c r="D8" s="265" t="s">
        <v>230</v>
      </c>
    </row>
    <row r="9" spans="1:4" ht="16.5" thickBot="1" x14ac:dyDescent="0.3">
      <c r="A9" s="272"/>
      <c r="B9" s="274"/>
      <c r="C9" s="266"/>
      <c r="D9" s="266"/>
    </row>
    <row r="10" spans="1:4" ht="16.5" thickBot="1" x14ac:dyDescent="0.3">
      <c r="A10" s="187" t="s">
        <v>231</v>
      </c>
      <c r="B10" s="188">
        <f>VLOOKUP(A5,мкд!S:T,2,FALSE)</f>
        <v>35053.72</v>
      </c>
      <c r="C10" s="189"/>
      <c r="D10" s="189"/>
    </row>
    <row r="11" spans="1:4" ht="16.5" hidden="1" thickBot="1" x14ac:dyDescent="0.3">
      <c r="A11" s="190" t="s">
        <v>232</v>
      </c>
      <c r="B11" s="188"/>
      <c r="C11" s="191"/>
      <c r="D11" s="191"/>
    </row>
    <row r="12" spans="1:4" x14ac:dyDescent="0.25">
      <c r="A12" s="192" t="s">
        <v>233</v>
      </c>
      <c r="B12" s="193"/>
      <c r="C12" s="5" t="s">
        <v>234</v>
      </c>
      <c r="D12" s="6" t="s">
        <v>234</v>
      </c>
    </row>
    <row r="13" spans="1:4" hidden="1" x14ac:dyDescent="0.25">
      <c r="A13" s="7" t="s">
        <v>235</v>
      </c>
      <c r="B13" s="8">
        <v>1257</v>
      </c>
      <c r="C13" s="9" t="s">
        <v>234</v>
      </c>
      <c r="D13" s="10" t="s">
        <v>234</v>
      </c>
    </row>
    <row r="14" spans="1:4" hidden="1" x14ac:dyDescent="0.25">
      <c r="A14" s="7" t="s">
        <v>236</v>
      </c>
      <c r="B14" s="8">
        <v>0</v>
      </c>
      <c r="C14" s="9"/>
      <c r="D14" s="10"/>
    </row>
    <row r="15" spans="1:4" hidden="1" x14ac:dyDescent="0.25">
      <c r="A15" s="7" t="s">
        <v>237</v>
      </c>
      <c r="B15" s="8">
        <f>B13+B14</f>
        <v>1257</v>
      </c>
      <c r="C15" s="9"/>
      <c r="D15" s="10"/>
    </row>
    <row r="16" spans="1:4" hidden="1" x14ac:dyDescent="0.25">
      <c r="A16" s="7" t="s">
        <v>238</v>
      </c>
      <c r="B16" s="8">
        <f>1232.6+1749/3</f>
        <v>1815.6</v>
      </c>
      <c r="C16" s="9" t="s">
        <v>234</v>
      </c>
      <c r="D16" s="10" t="s">
        <v>234</v>
      </c>
    </row>
    <row r="17" spans="1:7" hidden="1" x14ac:dyDescent="0.25">
      <c r="A17" s="7" t="s">
        <v>239</v>
      </c>
      <c r="B17" s="8">
        <v>0</v>
      </c>
      <c r="C17" s="9" t="s">
        <v>234</v>
      </c>
      <c r="D17" s="10" t="s">
        <v>234</v>
      </c>
    </row>
    <row r="18" spans="1:7" hidden="1" x14ac:dyDescent="0.25">
      <c r="A18" s="7" t="s">
        <v>240</v>
      </c>
      <c r="B18" s="8">
        <v>35.700000000000003</v>
      </c>
      <c r="C18" s="9" t="s">
        <v>234</v>
      </c>
      <c r="D18" s="10" t="s">
        <v>234</v>
      </c>
    </row>
    <row r="19" spans="1:7" hidden="1" x14ac:dyDescent="0.25">
      <c r="A19" s="7" t="s">
        <v>241</v>
      </c>
      <c r="B19" s="8">
        <v>0</v>
      </c>
      <c r="C19" s="9" t="s">
        <v>234</v>
      </c>
      <c r="D19" s="10" t="s">
        <v>234</v>
      </c>
    </row>
    <row r="20" spans="1:7" hidden="1" x14ac:dyDescent="0.25">
      <c r="A20" s="7" t="s">
        <v>242</v>
      </c>
      <c r="B20" s="8">
        <v>751</v>
      </c>
      <c r="C20" s="9"/>
      <c r="D20" s="10"/>
    </row>
    <row r="21" spans="1:7" hidden="1" x14ac:dyDescent="0.25">
      <c r="A21" s="7" t="s">
        <v>243</v>
      </c>
      <c r="B21" s="8">
        <v>0</v>
      </c>
      <c r="C21" s="9" t="s">
        <v>234</v>
      </c>
      <c r="D21" s="10" t="s">
        <v>234</v>
      </c>
    </row>
    <row r="22" spans="1:7" hidden="1" x14ac:dyDescent="0.25">
      <c r="A22" s="7" t="s">
        <v>244</v>
      </c>
      <c r="B22" s="8">
        <v>63</v>
      </c>
      <c r="C22" s="9"/>
      <c r="D22" s="10"/>
    </row>
    <row r="23" spans="1:7" x14ac:dyDescent="0.25">
      <c r="A23" s="7"/>
      <c r="B23" s="11"/>
      <c r="C23" s="9"/>
      <c r="D23" s="10"/>
      <c r="E23" s="3">
        <v>10</v>
      </c>
      <c r="F23" s="3">
        <v>2</v>
      </c>
    </row>
    <row r="24" spans="1:7" x14ac:dyDescent="0.25">
      <c r="A24" s="257" t="s">
        <v>245</v>
      </c>
      <c r="B24" s="255">
        <f>VLOOKUP(A5,мкд!W:X,2,FALSE)</f>
        <v>343591.8</v>
      </c>
      <c r="C24" s="9"/>
      <c r="D24" s="10"/>
      <c r="E24" s="194">
        <v>22.5</v>
      </c>
      <c r="F24" s="195">
        <v>24.17</v>
      </c>
    </row>
    <row r="25" spans="1:7" x14ac:dyDescent="0.25">
      <c r="A25" s="12" t="s">
        <v>246</v>
      </c>
      <c r="B25" s="14">
        <f>VLOOKUP(A5,мкд!W:Y,3,FALSE)</f>
        <v>324917.26</v>
      </c>
      <c r="C25" s="9"/>
      <c r="D25" s="10"/>
      <c r="E25" s="3">
        <f>B15*E23*E24+B15*F23*F24</f>
        <v>343588.38</v>
      </c>
    </row>
    <row r="26" spans="1:7" hidden="1" x14ac:dyDescent="0.25">
      <c r="A26" s="12" t="s">
        <v>247</v>
      </c>
      <c r="B26" s="13"/>
      <c r="C26" s="9"/>
      <c r="D26" s="10"/>
    </row>
    <row r="27" spans="1:7" hidden="1" x14ac:dyDescent="0.25">
      <c r="A27" s="12" t="s">
        <v>248</v>
      </c>
      <c r="B27" s="13">
        <f>B26</f>
        <v>0</v>
      </c>
      <c r="C27" s="9"/>
      <c r="D27" s="10"/>
    </row>
    <row r="28" spans="1:7" x14ac:dyDescent="0.25">
      <c r="A28" s="12" t="s">
        <v>249</v>
      </c>
      <c r="B28" s="14">
        <v>1510.2</v>
      </c>
      <c r="C28" s="9"/>
      <c r="D28" s="10"/>
    </row>
    <row r="29" spans="1:7" hidden="1" x14ac:dyDescent="0.25">
      <c r="A29" s="12" t="s">
        <v>250</v>
      </c>
      <c r="B29" s="8"/>
      <c r="C29" s="9"/>
      <c r="D29" s="10"/>
    </row>
    <row r="30" spans="1:7" x14ac:dyDescent="0.25">
      <c r="A30" s="196"/>
      <c r="B30" s="11"/>
      <c r="C30" s="9"/>
      <c r="D30" s="10"/>
    </row>
    <row r="31" spans="1:7" x14ac:dyDescent="0.25">
      <c r="A31" s="197" t="s">
        <v>251</v>
      </c>
      <c r="B31" s="11"/>
      <c r="C31" s="9"/>
      <c r="D31" s="10"/>
    </row>
    <row r="32" spans="1:7" s="18" customFormat="1" ht="31.5" x14ac:dyDescent="0.25">
      <c r="A32" s="15" t="s">
        <v>252</v>
      </c>
      <c r="B32" s="121">
        <f>SUM(B33:B40)</f>
        <v>43741.391199999998</v>
      </c>
      <c r="C32" s="9"/>
      <c r="D32" s="10"/>
      <c r="E32" s="17">
        <f>(B24-B85)/1.2/1.03</f>
        <v>-105081.5745241166</v>
      </c>
      <c r="F32" s="17" t="e">
        <f>(#REF!-#REF!)/1.2/1.03</f>
        <v>#REF!</v>
      </c>
      <c r="G32" s="17" t="e">
        <f>(#REF!-#REF!)/1.2/1.03</f>
        <v>#REF!</v>
      </c>
    </row>
    <row r="33" spans="1:7" x14ac:dyDescent="0.25">
      <c r="A33" s="19" t="s">
        <v>253</v>
      </c>
      <c r="B33" s="11">
        <f>19231*1.0952</f>
        <v>21061.7912</v>
      </c>
      <c r="C33" s="9"/>
      <c r="D33" s="10">
        <v>0</v>
      </c>
    </row>
    <row r="34" spans="1:7" hidden="1" x14ac:dyDescent="0.25">
      <c r="A34" s="19" t="s">
        <v>254</v>
      </c>
      <c r="B34" s="11">
        <v>0</v>
      </c>
      <c r="C34" s="9"/>
      <c r="D34" s="10">
        <v>0</v>
      </c>
    </row>
    <row r="35" spans="1:7" hidden="1" x14ac:dyDescent="0.25">
      <c r="A35" s="19" t="s">
        <v>255</v>
      </c>
      <c r="B35" s="8"/>
      <c r="C35" s="9"/>
      <c r="D35" s="10">
        <v>0</v>
      </c>
    </row>
    <row r="36" spans="1:7" x14ac:dyDescent="0.25">
      <c r="A36" s="52" t="s">
        <v>461</v>
      </c>
      <c r="B36" s="53">
        <v>12778.89</v>
      </c>
      <c r="C36" s="9" t="s">
        <v>234</v>
      </c>
      <c r="D36" s="10">
        <v>0</v>
      </c>
    </row>
    <row r="37" spans="1:7" x14ac:dyDescent="0.25">
      <c r="A37" s="251" t="s">
        <v>535</v>
      </c>
      <c r="B37" s="160">
        <v>5004.58</v>
      </c>
      <c r="C37" s="9"/>
      <c r="D37" s="10">
        <v>0</v>
      </c>
    </row>
    <row r="38" spans="1:7" hidden="1" x14ac:dyDescent="0.25">
      <c r="A38" s="19" t="s">
        <v>259</v>
      </c>
      <c r="B38" s="11">
        <v>0</v>
      </c>
      <c r="C38" s="9"/>
      <c r="D38" s="10">
        <v>0</v>
      </c>
    </row>
    <row r="39" spans="1:7" x14ac:dyDescent="0.25">
      <c r="A39" s="19" t="s">
        <v>256</v>
      </c>
      <c r="B39" s="11">
        <v>4896.13</v>
      </c>
      <c r="C39" s="9"/>
      <c r="D39" s="10"/>
    </row>
    <row r="40" spans="1:7" hidden="1" x14ac:dyDescent="0.25">
      <c r="A40" s="19" t="s">
        <v>311</v>
      </c>
      <c r="B40" s="11">
        <v>0</v>
      </c>
      <c r="C40" s="9"/>
      <c r="D40" s="10"/>
    </row>
    <row r="41" spans="1:7" s="18" customFormat="1" ht="47.25" x14ac:dyDescent="0.25">
      <c r="A41" s="15" t="s">
        <v>261</v>
      </c>
      <c r="B41" s="16">
        <f>SUM(B42:B44)</f>
        <v>39357.985199999996</v>
      </c>
      <c r="C41" s="9"/>
      <c r="D41" s="10"/>
      <c r="E41" s="17"/>
      <c r="F41" s="17"/>
      <c r="G41" s="17"/>
    </row>
    <row r="42" spans="1:7" x14ac:dyDescent="0.25">
      <c r="A42" s="19" t="s">
        <v>262</v>
      </c>
      <c r="B42" s="11">
        <v>7344.23</v>
      </c>
      <c r="C42" s="23"/>
      <c r="D42" s="24"/>
    </row>
    <row r="43" spans="1:7" x14ac:dyDescent="0.25">
      <c r="A43" s="19" t="s">
        <v>263</v>
      </c>
      <c r="B43" s="11">
        <v>23251.059999999998</v>
      </c>
      <c r="C43" s="23"/>
      <c r="D43" s="24"/>
    </row>
    <row r="44" spans="1:7" x14ac:dyDescent="0.25">
      <c r="A44" s="25" t="s">
        <v>264</v>
      </c>
      <c r="B44" s="11">
        <f>8001*1.0952</f>
        <v>8762.6952000000001</v>
      </c>
      <c r="C44" s="23"/>
      <c r="D44" s="24"/>
    </row>
    <row r="45" spans="1:7" s="4" customFormat="1" x14ac:dyDescent="0.25">
      <c r="A45" s="15" t="s">
        <v>265</v>
      </c>
      <c r="B45" s="121">
        <f>SUM(B46:B64)</f>
        <v>30913.89</v>
      </c>
      <c r="C45" s="9"/>
      <c r="D45" s="10"/>
    </row>
    <row r="46" spans="1:7" x14ac:dyDescent="0.25">
      <c r="A46" s="19" t="s">
        <v>266</v>
      </c>
      <c r="B46" s="11">
        <v>149.88</v>
      </c>
      <c r="C46" s="9"/>
      <c r="D46" s="10"/>
      <c r="E46" s="3" t="s">
        <v>267</v>
      </c>
    </row>
    <row r="47" spans="1:7" hidden="1" x14ac:dyDescent="0.25">
      <c r="A47" s="19" t="s">
        <v>268</v>
      </c>
      <c r="B47" s="11"/>
      <c r="C47" s="9"/>
      <c r="D47" s="10"/>
      <c r="E47" s="3" t="s">
        <v>269</v>
      </c>
    </row>
    <row r="48" spans="1:7" hidden="1" x14ac:dyDescent="0.25">
      <c r="A48" s="26" t="s">
        <v>270</v>
      </c>
      <c r="B48" s="10">
        <v>0</v>
      </c>
      <c r="C48" s="9"/>
      <c r="D48" s="10"/>
    </row>
    <row r="49" spans="1:5" hidden="1" x14ac:dyDescent="0.25">
      <c r="A49" s="26" t="s">
        <v>271</v>
      </c>
      <c r="B49" s="10">
        <v>0</v>
      </c>
      <c r="C49" s="9"/>
      <c r="D49" s="10"/>
    </row>
    <row r="50" spans="1:5" hidden="1" x14ac:dyDescent="0.25">
      <c r="A50" s="26" t="s">
        <v>272</v>
      </c>
      <c r="B50" s="10">
        <v>0</v>
      </c>
      <c r="C50" s="9"/>
      <c r="D50" s="10"/>
    </row>
    <row r="51" spans="1:5" hidden="1" x14ac:dyDescent="0.25">
      <c r="A51" s="26" t="s">
        <v>273</v>
      </c>
      <c r="B51" s="10"/>
      <c r="C51" s="9"/>
      <c r="D51" s="10"/>
    </row>
    <row r="52" spans="1:5" hidden="1" x14ac:dyDescent="0.25">
      <c r="A52" s="26" t="s">
        <v>274</v>
      </c>
      <c r="B52" s="11">
        <v>0</v>
      </c>
      <c r="C52" s="9">
        <v>0</v>
      </c>
      <c r="D52" s="10">
        <v>522.99</v>
      </c>
    </row>
    <row r="53" spans="1:5" hidden="1" x14ac:dyDescent="0.25">
      <c r="A53" s="26" t="s">
        <v>275</v>
      </c>
      <c r="B53" s="11">
        <v>0</v>
      </c>
      <c r="C53" s="9"/>
      <c r="D53" s="28"/>
    </row>
    <row r="54" spans="1:5" hidden="1" x14ac:dyDescent="0.25">
      <c r="A54" s="26" t="s">
        <v>276</v>
      </c>
      <c r="B54" s="11">
        <v>0</v>
      </c>
      <c r="C54" s="9"/>
      <c r="D54" s="28"/>
    </row>
    <row r="55" spans="1:5" hidden="1" x14ac:dyDescent="0.25">
      <c r="A55" s="26" t="s">
        <v>277</v>
      </c>
      <c r="B55" s="11">
        <v>0</v>
      </c>
      <c r="C55" s="9">
        <v>0</v>
      </c>
      <c r="D55" s="10">
        <f>10695.76/1.18</f>
        <v>9064.203389830509</v>
      </c>
    </row>
    <row r="56" spans="1:5" hidden="1" x14ac:dyDescent="0.25">
      <c r="A56" s="26" t="s">
        <v>312</v>
      </c>
      <c r="B56" s="11">
        <v>0</v>
      </c>
      <c r="C56" s="9">
        <v>0</v>
      </c>
      <c r="D56" s="10">
        <f>2300/1.18</f>
        <v>1949.1525423728815</v>
      </c>
    </row>
    <row r="57" spans="1:5" hidden="1" x14ac:dyDescent="0.25">
      <c r="A57" s="26" t="s">
        <v>313</v>
      </c>
      <c r="B57" s="11">
        <v>0</v>
      </c>
      <c r="C57" s="9">
        <v>0</v>
      </c>
      <c r="D57" s="10">
        <v>0</v>
      </c>
    </row>
    <row r="58" spans="1:5" hidden="1" x14ac:dyDescent="0.25">
      <c r="A58" s="26" t="s">
        <v>278</v>
      </c>
      <c r="B58" s="8"/>
      <c r="C58" s="9"/>
      <c r="D58" s="10"/>
    </row>
    <row r="59" spans="1:5" hidden="1" x14ac:dyDescent="0.25">
      <c r="A59" s="19" t="s">
        <v>279</v>
      </c>
      <c r="B59" s="11">
        <v>0</v>
      </c>
      <c r="C59" s="9"/>
      <c r="D59" s="10"/>
    </row>
    <row r="60" spans="1:5" x14ac:dyDescent="0.25">
      <c r="A60" s="19" t="s">
        <v>314</v>
      </c>
      <c r="B60" s="8">
        <v>11440.44</v>
      </c>
      <c r="C60" s="9"/>
      <c r="D60" s="10">
        <v>0</v>
      </c>
    </row>
    <row r="61" spans="1:5" x14ac:dyDescent="0.25">
      <c r="A61" s="19" t="s">
        <v>315</v>
      </c>
      <c r="B61" s="8">
        <v>182.1</v>
      </c>
      <c r="C61" s="9"/>
      <c r="D61" s="10">
        <v>0</v>
      </c>
    </row>
    <row r="62" spans="1:5" x14ac:dyDescent="0.25">
      <c r="A62" s="19" t="s">
        <v>282</v>
      </c>
      <c r="B62" s="31">
        <v>19141.47</v>
      </c>
      <c r="C62" s="30">
        <v>1</v>
      </c>
      <c r="D62" s="10">
        <v>0</v>
      </c>
    </row>
    <row r="63" spans="1:5" hidden="1" x14ac:dyDescent="0.25">
      <c r="A63" s="19" t="s">
        <v>283</v>
      </c>
      <c r="B63" s="31">
        <v>0</v>
      </c>
      <c r="C63" s="30">
        <v>36</v>
      </c>
      <c r="D63" s="10">
        <v>1</v>
      </c>
      <c r="E63" s="3">
        <v>1</v>
      </c>
    </row>
    <row r="64" spans="1:5" ht="17.25" hidden="1" customHeight="1" x14ac:dyDescent="0.25">
      <c r="A64" s="19" t="s">
        <v>281</v>
      </c>
      <c r="B64" s="31">
        <v>0</v>
      </c>
      <c r="C64" s="32"/>
      <c r="D64" s="24">
        <v>0</v>
      </c>
    </row>
    <row r="65" spans="1:5" s="4" customFormat="1" x14ac:dyDescent="0.25">
      <c r="A65" s="33" t="s">
        <v>285</v>
      </c>
      <c r="B65" s="121">
        <f>SUM(B66:B73)</f>
        <v>161371.19179200003</v>
      </c>
      <c r="C65" s="23"/>
      <c r="D65" s="24"/>
    </row>
    <row r="66" spans="1:5" hidden="1" x14ac:dyDescent="0.25">
      <c r="A66" s="19" t="s">
        <v>286</v>
      </c>
      <c r="B66" s="11">
        <v>0</v>
      </c>
      <c r="C66" s="23"/>
      <c r="D66" s="24"/>
    </row>
    <row r="67" spans="1:5" x14ac:dyDescent="0.25">
      <c r="A67" s="19" t="s">
        <v>287</v>
      </c>
      <c r="B67" s="8">
        <f>70184*1.04*1.12*1.09</f>
        <v>89107.852288000024</v>
      </c>
      <c r="C67" s="23"/>
      <c r="D67" s="24"/>
    </row>
    <row r="68" spans="1:5" hidden="1" x14ac:dyDescent="0.25">
      <c r="A68" s="19" t="s">
        <v>288</v>
      </c>
      <c r="B68" s="11">
        <v>0</v>
      </c>
      <c r="C68" s="23"/>
      <c r="D68" s="24"/>
    </row>
    <row r="69" spans="1:5" x14ac:dyDescent="0.25">
      <c r="A69" s="25" t="s">
        <v>289</v>
      </c>
      <c r="B69" s="8">
        <f>1.35*B15</f>
        <v>1696.95</v>
      </c>
      <c r="C69" s="23"/>
      <c r="D69" s="24"/>
    </row>
    <row r="70" spans="1:5" x14ac:dyDescent="0.25">
      <c r="A70" s="25" t="s">
        <v>290</v>
      </c>
      <c r="B70" s="11">
        <f>17.68*B13</f>
        <v>22223.759999999998</v>
      </c>
      <c r="C70" s="23"/>
      <c r="D70" s="24"/>
    </row>
    <row r="71" spans="1:5" x14ac:dyDescent="0.25">
      <c r="A71" s="25" t="s">
        <v>291</v>
      </c>
      <c r="B71" s="11">
        <f>17.68*B15</f>
        <v>22223.759999999998</v>
      </c>
      <c r="C71" s="23"/>
      <c r="D71" s="24"/>
    </row>
    <row r="72" spans="1:5" x14ac:dyDescent="0.25">
      <c r="A72" s="25" t="s">
        <v>292</v>
      </c>
      <c r="B72" s="11">
        <f>2178*1.04*1.12*1.09</f>
        <v>2765.2584960000004</v>
      </c>
      <c r="C72" s="23"/>
      <c r="D72" s="24"/>
    </row>
    <row r="73" spans="1:5" x14ac:dyDescent="0.25">
      <c r="A73" s="25" t="s">
        <v>293</v>
      </c>
      <c r="B73" s="11">
        <f>18394*1.04*1.12*1.09</f>
        <v>23353.611008000007</v>
      </c>
      <c r="C73" s="23"/>
      <c r="D73" s="24"/>
    </row>
    <row r="74" spans="1:5" ht="63" x14ac:dyDescent="0.25">
      <c r="A74" s="34" t="s">
        <v>294</v>
      </c>
      <c r="B74" s="121">
        <f>SUM(B75:B75)</f>
        <v>68589.329536000019</v>
      </c>
      <c r="C74" s="23"/>
      <c r="D74" s="24"/>
    </row>
    <row r="75" spans="1:5" x14ac:dyDescent="0.25">
      <c r="A75" s="25" t="s">
        <v>295</v>
      </c>
      <c r="B75" s="11">
        <f>54023*1.04*1.12*1.09</f>
        <v>68589.329536000019</v>
      </c>
      <c r="C75" s="23"/>
      <c r="D75" s="24"/>
    </row>
    <row r="76" spans="1:5" s="4" customFormat="1" ht="31.5" x14ac:dyDescent="0.25">
      <c r="A76" s="33" t="s">
        <v>296</v>
      </c>
      <c r="B76" s="121">
        <f>SUM(B77:B80)</f>
        <v>39094.680000000008</v>
      </c>
      <c r="C76" s="23"/>
      <c r="D76" s="24"/>
    </row>
    <row r="77" spans="1:5" x14ac:dyDescent="0.25">
      <c r="A77" s="35" t="s">
        <v>297</v>
      </c>
      <c r="B77" s="11">
        <f>28423*1.09</f>
        <v>30981.070000000003</v>
      </c>
      <c r="C77" s="23"/>
      <c r="D77" s="24"/>
    </row>
    <row r="78" spans="1:5" hidden="1" x14ac:dyDescent="0.25">
      <c r="A78" s="35" t="s">
        <v>298</v>
      </c>
      <c r="B78" s="11">
        <f>(B26/1.2)*30%</f>
        <v>0</v>
      </c>
      <c r="C78" s="23"/>
      <c r="D78" s="24"/>
    </row>
    <row r="79" spans="1:5" x14ac:dyDescent="0.25">
      <c r="A79" s="36" t="s">
        <v>299</v>
      </c>
      <c r="B79" s="8">
        <f>3030.36+2490</f>
        <v>5520.3600000000006</v>
      </c>
      <c r="C79" s="23"/>
      <c r="D79" s="24"/>
    </row>
    <row r="80" spans="1:5" x14ac:dyDescent="0.25">
      <c r="A80" s="36" t="s">
        <v>300</v>
      </c>
      <c r="B80" s="11">
        <v>2593.25</v>
      </c>
      <c r="C80" s="23"/>
      <c r="D80" s="24"/>
      <c r="E80" s="3">
        <f>B25/100*0.8</f>
        <v>2599.33808</v>
      </c>
    </row>
    <row r="81" spans="1:4" x14ac:dyDescent="0.25">
      <c r="A81" s="37" t="s">
        <v>301</v>
      </c>
      <c r="B81" s="14">
        <f>B32+B41+B45+B65+B74+B76</f>
        <v>383068.46772800008</v>
      </c>
      <c r="C81" s="23"/>
      <c r="D81" s="24"/>
    </row>
    <row r="82" spans="1:4" x14ac:dyDescent="0.25">
      <c r="A82" s="199" t="s">
        <v>302</v>
      </c>
      <c r="B82" s="11">
        <f>B81*0.03</f>
        <v>11492.054031840002</v>
      </c>
      <c r="C82" s="23"/>
      <c r="D82" s="24"/>
    </row>
    <row r="83" spans="1:4" s="18" customFormat="1" x14ac:dyDescent="0.25">
      <c r="A83" s="176" t="s">
        <v>303</v>
      </c>
      <c r="B83" s="121">
        <f>B81+B82</f>
        <v>394560.52175984008</v>
      </c>
      <c r="C83" s="23"/>
      <c r="D83" s="24"/>
    </row>
    <row r="84" spans="1:4" ht="16.5" thickBot="1" x14ac:dyDescent="0.3">
      <c r="A84" s="177" t="s">
        <v>304</v>
      </c>
      <c r="B84" s="142">
        <f>B83*0.2</f>
        <v>78912.104351968024</v>
      </c>
      <c r="C84" s="23"/>
      <c r="D84" s="24"/>
    </row>
    <row r="85" spans="1:4" s="4" customFormat="1" ht="16.5" thickBot="1" x14ac:dyDescent="0.3">
      <c r="A85" s="38" t="s">
        <v>305</v>
      </c>
      <c r="B85" s="46">
        <f>B83+B84</f>
        <v>473472.62611180812</v>
      </c>
      <c r="C85" s="40"/>
      <c r="D85" s="41"/>
    </row>
    <row r="86" spans="1:4" s="4" customFormat="1" ht="16.5" thickBot="1" x14ac:dyDescent="0.3">
      <c r="A86" s="42" t="s">
        <v>306</v>
      </c>
      <c r="B86" s="46">
        <f>B10+B24+B26+B28+B29-B85</f>
        <v>-93316.906111808086</v>
      </c>
      <c r="C86" s="43"/>
      <c r="D86" s="43"/>
    </row>
    <row r="87" spans="1:4" s="4" customFormat="1" ht="16.5" hidden="1" thickBot="1" x14ac:dyDescent="0.3">
      <c r="A87" s="44" t="s">
        <v>307</v>
      </c>
      <c r="B87" s="46"/>
      <c r="C87" s="43"/>
      <c r="D87" s="43"/>
    </row>
    <row r="88" spans="1:4" s="4" customFormat="1" ht="16.5" hidden="1" thickBot="1" x14ac:dyDescent="0.3">
      <c r="A88" s="45" t="s">
        <v>308</v>
      </c>
      <c r="B88" s="46"/>
      <c r="C88" s="43"/>
      <c r="D88" s="43"/>
    </row>
    <row r="89" spans="1:4" s="4" customFormat="1" hidden="1" x14ac:dyDescent="0.25">
      <c r="A89" s="47"/>
      <c r="B89" s="48"/>
      <c r="C89" s="43"/>
      <c r="D89" s="43"/>
    </row>
    <row r="90" spans="1:4" x14ac:dyDescent="0.25">
      <c r="A90" s="49"/>
    </row>
    <row r="91" spans="1:4" x14ac:dyDescent="0.25">
      <c r="A91" s="267" t="s">
        <v>540</v>
      </c>
      <c r="B91" s="267"/>
    </row>
    <row r="92" spans="1:4" x14ac:dyDescent="0.25">
      <c r="A92" s="49"/>
      <c r="B92" s="51"/>
    </row>
    <row r="93" spans="1:4" x14ac:dyDescent="0.25">
      <c r="A93" s="268"/>
      <c r="B93" s="268"/>
      <c r="C93" s="51"/>
    </row>
  </sheetData>
  <autoFilter ref="A32:B88" xr:uid="{00000000-0009-0000-0000-000003000000}">
    <filterColumn colId="1">
      <filters>
        <filter val="1 696,95"/>
        <filter val="11 440,44"/>
        <filter val="11 492,05"/>
        <filter val="12778,89"/>
        <filter val="149,88"/>
        <filter val="161 371,19"/>
        <filter val="182,10"/>
        <filter val="19 141,47"/>
        <filter val="2 593,25"/>
        <filter val="2 765,26"/>
        <filter val="21 061,79"/>
        <filter val="22 223,76"/>
        <filter val="23 251,06"/>
        <filter val="23 353,61"/>
        <filter val="30 913,89"/>
        <filter val="30 981,07"/>
        <filter val="383 068,47"/>
        <filter val="39 094,68"/>
        <filter val="39 357,99"/>
        <filter val="394 560,52"/>
        <filter val="4 896,13"/>
        <filter val="473 472,63"/>
        <filter val="5 004,58"/>
        <filter val="5 520,36"/>
        <filter val="68 589,33"/>
        <filter val="7 344,23"/>
        <filter val="78 912,10"/>
        <filter val="8 762,70"/>
        <filter val="89 107,85"/>
        <filter val="-93 316,91"/>
      </filters>
    </filterColumn>
  </autoFilter>
  <mergeCells count="9">
    <mergeCell ref="D8:D9"/>
    <mergeCell ref="A91:B91"/>
    <mergeCell ref="A93:B93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filterMode="1">
    <pageSetUpPr fitToPage="1"/>
  </sheetPr>
  <dimension ref="A1:G95"/>
  <sheetViews>
    <sheetView view="pageBreakPreview" topLeftCell="A73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112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92721.17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3299.9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580</v>
      </c>
      <c r="C14" s="60"/>
      <c r="D14" s="59"/>
    </row>
    <row r="15" spans="1:4" ht="15.75" hidden="1" x14ac:dyDescent="0.25">
      <c r="A15" s="58" t="s">
        <v>237</v>
      </c>
      <c r="B15" s="11">
        <f>B13+B14</f>
        <v>3879.9</v>
      </c>
      <c r="C15" s="61"/>
      <c r="D15" s="62"/>
    </row>
    <row r="16" spans="1:4" ht="16.5" hidden="1" thickBot="1" x14ac:dyDescent="0.3">
      <c r="A16" s="58" t="s">
        <v>238</v>
      </c>
      <c r="B16" s="11">
        <f>1263+1602.9/3</f>
        <v>1797.3000000000002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456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590.9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2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151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893607.05999999994</v>
      </c>
      <c r="C24" s="59"/>
      <c r="D24" s="62"/>
      <c r="E24" s="194">
        <v>22</v>
      </c>
      <c r="F24" s="195">
        <v>24.626799999999999</v>
      </c>
      <c r="G24" s="54"/>
    </row>
    <row r="25" spans="1:7" ht="16.5" thickBot="1" x14ac:dyDescent="0.3">
      <c r="A25" s="64" t="s">
        <v>318</v>
      </c>
      <c r="B25" s="14">
        <f>VLOOKUP(A5,мкд!W:Y,3,FALSE)</f>
        <v>841773.46</v>
      </c>
      <c r="C25" s="63"/>
      <c r="D25" s="62"/>
      <c r="E25" s="54"/>
      <c r="F25" s="54"/>
      <c r="G25" s="54"/>
    </row>
    <row r="26" spans="1:7" ht="15.75" x14ac:dyDescent="0.25">
      <c r="A26" s="64" t="s">
        <v>348</v>
      </c>
      <c r="B26" s="14">
        <v>132425.60000000001</v>
      </c>
      <c r="C26" s="57"/>
      <c r="D26" s="59"/>
      <c r="E26" s="54"/>
      <c r="F26" s="54"/>
      <c r="G26" s="54"/>
    </row>
    <row r="27" spans="1:7" ht="16.5" thickBot="1" x14ac:dyDescent="0.3">
      <c r="A27" s="64" t="s">
        <v>349</v>
      </c>
      <c r="B27" s="14">
        <v>13919.4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176628.84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260809.09196992347</v>
      </c>
      <c r="C32" s="59"/>
      <c r="D32" s="62"/>
      <c r="E32" s="67">
        <f>(B86-B26-B24)/1.2/1.03</f>
        <v>374021.34638701158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f>35926.873602925*1.0952</f>
        <v>39347.111969923455</v>
      </c>
      <c r="C33" s="63"/>
      <c r="D33" s="62">
        <v>25973.37</v>
      </c>
      <c r="E33" s="54"/>
      <c r="F33" s="54"/>
      <c r="G33" s="54"/>
    </row>
    <row r="34" spans="1:7" ht="15.75" x14ac:dyDescent="0.25">
      <c r="A34" s="69" t="s">
        <v>320</v>
      </c>
      <c r="B34" s="11">
        <v>910.32</v>
      </c>
      <c r="C34" s="57"/>
      <c r="D34" s="59">
        <v>0</v>
      </c>
      <c r="E34" s="54"/>
      <c r="F34" s="54"/>
      <c r="G34" s="54"/>
    </row>
    <row r="35" spans="1:7" ht="15.75" hidden="1" x14ac:dyDescent="0.25">
      <c r="A35" s="69" t="s">
        <v>256</v>
      </c>
      <c r="B35" s="11"/>
      <c r="C35" s="62"/>
      <c r="D35" s="59">
        <v>0</v>
      </c>
      <c r="E35" s="54"/>
      <c r="F35" s="54"/>
      <c r="G35" s="54"/>
    </row>
    <row r="36" spans="1:7" ht="15.75" hidden="1" x14ac:dyDescent="0.25">
      <c r="A36" s="69" t="s">
        <v>255</v>
      </c>
      <c r="B36" s="11"/>
      <c r="C36" s="62" t="s">
        <v>234</v>
      </c>
      <c r="D36" s="59">
        <v>0</v>
      </c>
      <c r="E36" s="54"/>
      <c r="F36" s="54"/>
      <c r="G36" s="54"/>
    </row>
    <row r="37" spans="1:7" ht="15.75" hidden="1" x14ac:dyDescent="0.25">
      <c r="A37" s="69" t="s">
        <v>257</v>
      </c>
      <c r="B37" s="11">
        <v>0</v>
      </c>
      <c r="C37" s="62"/>
      <c r="D37" s="59">
        <v>0</v>
      </c>
      <c r="E37" s="54"/>
      <c r="F37" s="54"/>
      <c r="G37" s="54"/>
    </row>
    <row r="38" spans="1:7" ht="15.75" hidden="1" x14ac:dyDescent="0.25">
      <c r="A38" s="69" t="s">
        <v>258</v>
      </c>
      <c r="B38" s="11">
        <v>0</v>
      </c>
      <c r="C38" s="62"/>
      <c r="D38" s="59">
        <v>0</v>
      </c>
      <c r="E38" s="54"/>
      <c r="F38" s="54"/>
      <c r="G38" s="54"/>
    </row>
    <row r="39" spans="1:7" ht="15.75" x14ac:dyDescent="0.25">
      <c r="A39" s="69" t="s">
        <v>322</v>
      </c>
      <c r="B39" s="11">
        <v>4942.58</v>
      </c>
      <c r="C39" s="62"/>
      <c r="D39" s="59">
        <v>0</v>
      </c>
      <c r="E39" s="54"/>
      <c r="F39" s="54"/>
      <c r="G39" s="54"/>
    </row>
    <row r="40" spans="1:7" ht="15.75" hidden="1" x14ac:dyDescent="0.25">
      <c r="A40" s="69" t="s">
        <v>357</v>
      </c>
      <c r="B40" s="11"/>
      <c r="C40" s="62"/>
      <c r="D40" s="59"/>
      <c r="E40" s="54"/>
      <c r="F40" s="54"/>
      <c r="G40" s="54"/>
    </row>
    <row r="41" spans="1:7" ht="16.5" thickBot="1" x14ac:dyDescent="0.3">
      <c r="A41" s="69" t="s">
        <v>339</v>
      </c>
      <c r="B41" s="11">
        <v>215609.08000000002</v>
      </c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41128.944263970843</v>
      </c>
      <c r="C42" s="56"/>
      <c r="D42" s="62"/>
      <c r="E42" s="67"/>
      <c r="F42" s="67"/>
      <c r="G42" s="67"/>
    </row>
    <row r="43" spans="1:7" ht="15.75" hidden="1" x14ac:dyDescent="0.25">
      <c r="A43" s="69" t="s">
        <v>262</v>
      </c>
      <c r="B43" s="11"/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15171.91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('[1]34тарифы'!D163*B15+588.03)*1.1194*1.0952</f>
        <v>25957.03426397084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362907.94000000006</v>
      </c>
      <c r="C46" s="56"/>
      <c r="D46" s="62"/>
    </row>
    <row r="47" spans="1:7" ht="15.75" x14ac:dyDescent="0.25">
      <c r="A47" s="69" t="s">
        <v>324</v>
      </c>
      <c r="B47" s="162">
        <v>1915.2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62">
        <v>2325.6</v>
      </c>
      <c r="C48" s="62"/>
      <c r="D48" s="59"/>
      <c r="E48" s="54" t="s">
        <v>269</v>
      </c>
      <c r="F48" s="54"/>
      <c r="G48" s="54"/>
    </row>
    <row r="49" spans="1:4" ht="15.75" x14ac:dyDescent="0.2">
      <c r="A49" s="75" t="s">
        <v>270</v>
      </c>
      <c r="B49" s="162">
        <v>143340.48000000001</v>
      </c>
      <c r="C49" s="62">
        <v>2</v>
      </c>
      <c r="D49" s="59">
        <f>6972.52*2</f>
        <v>13945.04</v>
      </c>
    </row>
    <row r="50" spans="1:4" ht="15.75" x14ac:dyDescent="0.2">
      <c r="A50" s="75" t="s">
        <v>271</v>
      </c>
      <c r="B50" s="162">
        <v>9800</v>
      </c>
      <c r="C50" s="62">
        <v>2</v>
      </c>
      <c r="D50" s="59">
        <v>4190</v>
      </c>
    </row>
    <row r="51" spans="1:4" ht="15.75" hidden="1" x14ac:dyDescent="0.25">
      <c r="A51" s="75" t="s">
        <v>343</v>
      </c>
      <c r="B51" s="11"/>
      <c r="C51" s="62">
        <v>2</v>
      </c>
      <c r="D51" s="59">
        <v>13973</v>
      </c>
    </row>
    <row r="52" spans="1:4" ht="15.75" hidden="1" x14ac:dyDescent="0.25">
      <c r="A52" s="75" t="s">
        <v>485</v>
      </c>
      <c r="B52" s="11"/>
      <c r="C52" s="62">
        <v>2</v>
      </c>
      <c r="D52" s="59">
        <v>105.14</v>
      </c>
    </row>
    <row r="53" spans="1:4" ht="15.75" x14ac:dyDescent="0.25">
      <c r="A53" s="75" t="s">
        <v>520</v>
      </c>
      <c r="B53" s="11">
        <v>4200</v>
      </c>
      <c r="C53" s="62">
        <v>0</v>
      </c>
      <c r="D53" s="59">
        <v>522.99</v>
      </c>
    </row>
    <row r="54" spans="1:4" ht="15.75" x14ac:dyDescent="0.25">
      <c r="A54" s="75" t="s">
        <v>275</v>
      </c>
      <c r="B54" s="11">
        <v>8133.61</v>
      </c>
      <c r="C54" s="62">
        <v>1</v>
      </c>
      <c r="D54" s="76">
        <v>700.55</v>
      </c>
    </row>
    <row r="55" spans="1:4" ht="15.75" hidden="1" x14ac:dyDescent="0.25">
      <c r="A55" s="75" t="s">
        <v>276</v>
      </c>
      <c r="B55" s="11">
        <v>0</v>
      </c>
      <c r="C55" s="62"/>
      <c r="D55" s="76"/>
    </row>
    <row r="56" spans="1:4" ht="15.75" x14ac:dyDescent="0.25">
      <c r="A56" s="75" t="s">
        <v>277</v>
      </c>
      <c r="B56" s="11">
        <v>126000</v>
      </c>
      <c r="C56" s="62">
        <v>1</v>
      </c>
      <c r="D56" s="59">
        <f>10695.76/1.18</f>
        <v>9064.203389830509</v>
      </c>
    </row>
    <row r="57" spans="1:4" ht="15.75" x14ac:dyDescent="0.2">
      <c r="A57" s="75" t="s">
        <v>281</v>
      </c>
      <c r="B57" s="132">
        <f>2180.21+840</f>
        <v>3020.21</v>
      </c>
      <c r="C57" s="62">
        <v>0</v>
      </c>
      <c r="D57" s="59">
        <f>2300/1.18</f>
        <v>1949.1525423728815</v>
      </c>
    </row>
    <row r="58" spans="1:4" ht="16.5" thickBot="1" x14ac:dyDescent="0.3">
      <c r="A58" s="75" t="s">
        <v>313</v>
      </c>
      <c r="B58" s="11">
        <v>19242.419999999998</v>
      </c>
      <c r="C58" s="60">
        <f>65+6</f>
        <v>71</v>
      </c>
      <c r="D58" s="59">
        <v>44.62</v>
      </c>
    </row>
    <row r="59" spans="1:4" ht="16.5" thickBot="1" x14ac:dyDescent="0.25">
      <c r="A59" s="75" t="s">
        <v>274</v>
      </c>
      <c r="B59" s="162">
        <v>21977</v>
      </c>
      <c r="C59" s="56"/>
      <c r="D59" s="62"/>
    </row>
    <row r="60" spans="1:4" ht="15.75" hidden="1" x14ac:dyDescent="0.25">
      <c r="A60" s="69" t="s">
        <v>279</v>
      </c>
      <c r="B60" s="11">
        <v>0</v>
      </c>
      <c r="C60" s="57"/>
      <c r="D60" s="59"/>
    </row>
    <row r="61" spans="1:4" ht="15.75" hidden="1" x14ac:dyDescent="0.25">
      <c r="A61" s="69" t="s">
        <v>486</v>
      </c>
      <c r="B61" s="11"/>
      <c r="C61" s="62"/>
      <c r="D61" s="59">
        <v>0</v>
      </c>
    </row>
    <row r="62" spans="1:4" ht="16.5" thickBot="1" x14ac:dyDescent="0.3">
      <c r="A62" s="25" t="s">
        <v>314</v>
      </c>
      <c r="B62" s="11">
        <f>VLOOKUP(A5,'[2]МКД 33'!$AI:$FO,137,FALSE)</f>
        <v>1917.71</v>
      </c>
      <c r="C62" s="62"/>
      <c r="D62" s="59">
        <v>0</v>
      </c>
    </row>
    <row r="63" spans="1:4" ht="16.5" hidden="1" thickBot="1" x14ac:dyDescent="0.3">
      <c r="A63" s="69" t="s">
        <v>325</v>
      </c>
      <c r="B63" s="132">
        <v>0</v>
      </c>
      <c r="C63" s="78">
        <v>1</v>
      </c>
      <c r="D63" s="59">
        <v>0</v>
      </c>
    </row>
    <row r="64" spans="1:4" ht="16.5" thickBot="1" x14ac:dyDescent="0.3">
      <c r="A64" s="69" t="s">
        <v>518</v>
      </c>
      <c r="B64" s="132">
        <v>21035.71</v>
      </c>
      <c r="C64" s="79">
        <v>71</v>
      </c>
      <c r="D64" s="62">
        <v>2</v>
      </c>
    </row>
    <row r="65" spans="1:4" s="55" customFormat="1" ht="16.5" hidden="1" thickBot="1" x14ac:dyDescent="0.3">
      <c r="A65" s="69" t="s">
        <v>284</v>
      </c>
      <c r="B65" s="132">
        <v>0</v>
      </c>
      <c r="C65" s="80"/>
      <c r="D65" s="73">
        <v>0</v>
      </c>
    </row>
    <row r="66" spans="1:4" s="55" customFormat="1" ht="16.5" thickBot="1" x14ac:dyDescent="0.3">
      <c r="A66" s="175" t="s">
        <v>285</v>
      </c>
      <c r="B66" s="121">
        <f>SUM(B67:B74)</f>
        <v>257927.20755413757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65489*1.04*1.1194*1.0952</f>
        <v>83498.838804492785</v>
      </c>
      <c r="C68" s="56">
        <f>46.2*B16</f>
        <v>83035.260000000009</v>
      </c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5237.8650000000007</v>
      </c>
      <c r="C70" s="60"/>
      <c r="D70" s="73"/>
    </row>
    <row r="71" spans="1:4" ht="15.75" x14ac:dyDescent="0.25">
      <c r="A71" s="74" t="s">
        <v>290</v>
      </c>
      <c r="B71" s="11">
        <f>5.06*B15</f>
        <v>19632.293999999998</v>
      </c>
      <c r="C71" s="81"/>
      <c r="D71" s="60"/>
    </row>
    <row r="72" spans="1:4" ht="15.75" x14ac:dyDescent="0.25">
      <c r="A72" s="74" t="s">
        <v>291</v>
      </c>
      <c r="B72" s="11">
        <f>17.68*B15</f>
        <v>68596.631999999998</v>
      </c>
      <c r="C72" s="73"/>
      <c r="D72" s="60"/>
    </row>
    <row r="73" spans="1:4" ht="15.75" x14ac:dyDescent="0.25">
      <c r="A73" s="25" t="s">
        <v>292</v>
      </c>
      <c r="B73" s="11">
        <f>6724*1.04*1.1194*1.0952</f>
        <v>8573.1373531647987</v>
      </c>
      <c r="C73" s="73"/>
      <c r="D73" s="60"/>
    </row>
    <row r="74" spans="1:4" ht="15.75" x14ac:dyDescent="0.25">
      <c r="A74" s="74" t="s">
        <v>293</v>
      </c>
      <c r="B74" s="11">
        <f>56775*1.04*1.1194*1.0952</f>
        <v>72388.440396479986</v>
      </c>
      <c r="C74" s="73"/>
      <c r="D74" s="60"/>
    </row>
    <row r="75" spans="1:4" ht="47.25" x14ac:dyDescent="0.25">
      <c r="A75" s="213" t="s">
        <v>326</v>
      </c>
      <c r="B75" s="121">
        <f>SUM(B76:B76)</f>
        <v>122928.74510215071</v>
      </c>
      <c r="C75" s="73"/>
      <c r="D75" s="60"/>
    </row>
    <row r="76" spans="1:4" ht="15.75" x14ac:dyDescent="0.25">
      <c r="A76" s="74" t="s">
        <v>295</v>
      </c>
      <c r="B76" s="11">
        <f>'[1]34ОЭР'!D137*1.1194*1.0952</f>
        <v>122928.74510215071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158442.92882368964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'[1]34тарифы'!D170*B15*1.1194*1.0952</f>
        <v>102496.50516429073</v>
      </c>
      <c r="C78" s="63"/>
      <c r="D78" s="60"/>
    </row>
    <row r="79" spans="1:4" ht="16.5" thickBot="1" x14ac:dyDescent="0.3">
      <c r="A79" s="35" t="s">
        <v>298</v>
      </c>
      <c r="B79" s="11">
        <f>(B26/1.2)*30%</f>
        <v>33106.400000000001</v>
      </c>
      <c r="C79" s="65"/>
      <c r="D79" s="73"/>
    </row>
    <row r="80" spans="1:4" ht="15.75" x14ac:dyDescent="0.25">
      <c r="A80" s="83" t="s">
        <v>328</v>
      </c>
      <c r="B80" s="11">
        <f>9770.71+5746.86</f>
        <v>15517.57</v>
      </c>
      <c r="C80" s="81"/>
      <c r="D80" s="60"/>
    </row>
    <row r="81" spans="1:4" ht="15.75" x14ac:dyDescent="0.25">
      <c r="A81" s="83" t="s">
        <v>329</v>
      </c>
      <c r="B81" s="11">
        <f>'[1]34тарифы'!D173*B13*1.1194*1.01</f>
        <v>7322.4536593988796</v>
      </c>
      <c r="C81" s="73"/>
      <c r="D81" s="60"/>
    </row>
    <row r="82" spans="1:4" ht="15.75" x14ac:dyDescent="0.25">
      <c r="A82" s="214" t="s">
        <v>301</v>
      </c>
      <c r="B82" s="14">
        <f>B32+B42+B46+B66+B75+B77</f>
        <v>1204144.8577138723</v>
      </c>
      <c r="C82" s="73"/>
      <c r="D82" s="60"/>
    </row>
    <row r="83" spans="1:4" ht="15.75" x14ac:dyDescent="0.25">
      <c r="A83" s="215" t="s">
        <v>302</v>
      </c>
      <c r="B83" s="11">
        <f>B82*0.03</f>
        <v>36124.345731416171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1240269.2034452886</v>
      </c>
      <c r="C84" s="73"/>
      <c r="D84" s="60"/>
    </row>
    <row r="85" spans="1:4" ht="16.5" thickBot="1" x14ac:dyDescent="0.3">
      <c r="A85" s="217" t="s">
        <v>304</v>
      </c>
      <c r="B85" s="142">
        <f>B84*0.2</f>
        <v>248053.84068905772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1488323.0441343463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-192940.37413434614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27000000}">
    <filterColumn colId="1">
      <filters>
        <filter val="1 204 144,86"/>
        <filter val="1 240 269,20"/>
        <filter val="1 488 323,04"/>
        <filter val="1 915,20"/>
        <filter val="1 917,71"/>
        <filter val="102 496,51"/>
        <filter val="122 928,75"/>
        <filter val="126 000,00"/>
        <filter val="143 340,48"/>
        <filter val="15 171,91"/>
        <filter val="15 517,57"/>
        <filter val="158 442,93"/>
        <filter val="19 242,42"/>
        <filter val="19 632,29"/>
        <filter val="-192 940,37"/>
        <filter val="2 325,60"/>
        <filter val="21 035,71"/>
        <filter val="21 977,00"/>
        <filter val="215 609,08"/>
        <filter val="248 053,84"/>
        <filter val="25 957,03"/>
        <filter val="257 927,21"/>
        <filter val="260 809,09"/>
        <filter val="3 020,21"/>
        <filter val="33 106,40"/>
        <filter val="36 124,35"/>
        <filter val="362 907,94"/>
        <filter val="39 347,11"/>
        <filter val="4 200,00"/>
        <filter val="4 942,58"/>
        <filter val="41 128,94"/>
        <filter val="5 237,87"/>
        <filter val="68 596,63"/>
        <filter val="7 322,45"/>
        <filter val="72 388,44"/>
        <filter val="8 133,61"/>
        <filter val="8 573,14"/>
        <filter val="83 498,84"/>
        <filter val="9 800,00"/>
        <filter val="910,32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4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filterMode="1">
    <pageSetUpPr fitToPage="1"/>
  </sheetPr>
  <dimension ref="A1:G95"/>
  <sheetViews>
    <sheetView view="pageBreakPreview" topLeftCell="A66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123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-965752.72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1375.9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123.5</v>
      </c>
      <c r="C14" s="60"/>
      <c r="D14" s="59"/>
    </row>
    <row r="15" spans="1:4" ht="15.75" hidden="1" x14ac:dyDescent="0.25">
      <c r="A15" s="58" t="s">
        <v>237</v>
      </c>
      <c r="B15" s="11">
        <f>B13+B14</f>
        <v>1499.4</v>
      </c>
      <c r="C15" s="61"/>
      <c r="D15" s="62"/>
    </row>
    <row r="16" spans="1:4" ht="16.5" hidden="1" thickBot="1" x14ac:dyDescent="0.3">
      <c r="A16" s="58" t="s">
        <v>238</v>
      </c>
      <c r="B16" s="11">
        <f>1120.5+891.9/3</f>
        <v>1417.8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678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826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78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261364.7</v>
      </c>
      <c r="C24" s="59"/>
      <c r="D24" s="62"/>
      <c r="E24" s="194">
        <v>14</v>
      </c>
      <c r="F24" s="195">
        <v>15.6716</v>
      </c>
      <c r="G24" s="54"/>
    </row>
    <row r="25" spans="1:7" ht="16.5" thickBot="1" x14ac:dyDescent="0.3">
      <c r="A25" s="64" t="s">
        <v>318</v>
      </c>
      <c r="B25" s="14">
        <f>VLOOKUP(A5,мкд!W:Y,3,FALSE)</f>
        <v>238448.77000000002</v>
      </c>
      <c r="C25" s="63"/>
      <c r="D25" s="62"/>
      <c r="E25" s="54"/>
      <c r="F25" s="54"/>
      <c r="G25" s="54"/>
    </row>
    <row r="26" spans="1:7" ht="15.75" x14ac:dyDescent="0.25">
      <c r="A26" s="64" t="s">
        <v>348</v>
      </c>
      <c r="B26" s="14">
        <v>23366.2</v>
      </c>
      <c r="C26" s="57"/>
      <c r="D26" s="59"/>
      <c r="E26" s="54"/>
      <c r="F26" s="54"/>
      <c r="G26" s="54"/>
    </row>
    <row r="27" spans="1:7" ht="16.5" thickBot="1" x14ac:dyDescent="0.3">
      <c r="A27" s="64" t="s">
        <v>349</v>
      </c>
      <c r="B27" s="14">
        <v>24297.79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7459.44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118905.28</v>
      </c>
      <c r="C32" s="59"/>
      <c r="D32" s="62"/>
      <c r="E32" s="67">
        <f>(B86-B26-B24)/1.2/1.03</f>
        <v>212138.60766496876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v>56371.700000000004</v>
      </c>
      <c r="C33" s="63"/>
      <c r="D33" s="62">
        <v>32638.55</v>
      </c>
      <c r="E33" s="54"/>
      <c r="F33" s="54"/>
      <c r="G33" s="54"/>
    </row>
    <row r="34" spans="1:7" ht="15.75" hidden="1" x14ac:dyDescent="0.25">
      <c r="A34" s="69" t="s">
        <v>320</v>
      </c>
      <c r="B34" s="11">
        <v>0</v>
      </c>
      <c r="C34" s="57"/>
      <c r="D34" s="59">
        <v>0</v>
      </c>
      <c r="E34" s="54"/>
      <c r="F34" s="54"/>
      <c r="G34" s="54"/>
    </row>
    <row r="35" spans="1:7" ht="15.75" x14ac:dyDescent="0.25">
      <c r="A35" s="69" t="s">
        <v>256</v>
      </c>
      <c r="B35" s="11">
        <v>6479.91</v>
      </c>
      <c r="C35" s="62"/>
      <c r="D35" s="59">
        <v>0</v>
      </c>
      <c r="E35" s="54"/>
      <c r="F35" s="54"/>
      <c r="G35" s="54"/>
    </row>
    <row r="36" spans="1:7" ht="15.75" x14ac:dyDescent="0.25">
      <c r="A36" s="69" t="s">
        <v>255</v>
      </c>
      <c r="B36" s="11">
        <v>28747.989999999998</v>
      </c>
      <c r="C36" s="62" t="s">
        <v>234</v>
      </c>
      <c r="D36" s="59">
        <v>0</v>
      </c>
      <c r="E36" s="54"/>
      <c r="F36" s="54"/>
      <c r="G36" s="54"/>
    </row>
    <row r="37" spans="1:7" ht="15.75" hidden="1" x14ac:dyDescent="0.25">
      <c r="A37" s="69" t="s">
        <v>257</v>
      </c>
      <c r="B37" s="11"/>
      <c r="C37" s="62"/>
      <c r="D37" s="59">
        <v>0</v>
      </c>
      <c r="E37" s="54"/>
      <c r="F37" s="54"/>
      <c r="G37" s="54"/>
    </row>
    <row r="38" spans="1:7" ht="15.75" hidden="1" x14ac:dyDescent="0.25">
      <c r="A38" s="69" t="s">
        <v>258</v>
      </c>
      <c r="B38" s="11">
        <v>0</v>
      </c>
      <c r="C38" s="62"/>
      <c r="D38" s="59">
        <v>0</v>
      </c>
      <c r="E38" s="54"/>
      <c r="F38" s="54"/>
      <c r="G38" s="54"/>
    </row>
    <row r="39" spans="1:7" ht="15.75" hidden="1" x14ac:dyDescent="0.25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5.75" hidden="1" x14ac:dyDescent="0.25">
      <c r="A40" s="69" t="s">
        <v>310</v>
      </c>
      <c r="B40" s="11">
        <v>0</v>
      </c>
      <c r="C40" s="62"/>
      <c r="D40" s="59"/>
      <c r="E40" s="54"/>
      <c r="F40" s="54"/>
      <c r="G40" s="54"/>
    </row>
    <row r="41" spans="1:7" ht="16.5" thickBot="1" x14ac:dyDescent="0.3">
      <c r="A41" s="69" t="s">
        <v>338</v>
      </c>
      <c r="B41" s="11">
        <v>27305.68</v>
      </c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35186.990034600603</v>
      </c>
      <c r="C42" s="56"/>
      <c r="D42" s="62"/>
      <c r="E42" s="67"/>
      <c r="F42" s="67"/>
      <c r="G42" s="67"/>
    </row>
    <row r="43" spans="1:7" ht="15.75" hidden="1" x14ac:dyDescent="0.25">
      <c r="A43" s="69" t="s">
        <v>262</v>
      </c>
      <c r="B43" s="11"/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25217.9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('[1]34тарифы'!D163*B15+176.6)*1.1194*1.0952</f>
        <v>9969.0900346006056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43674.789999999994</v>
      </c>
      <c r="C46" s="56"/>
      <c r="D46" s="62"/>
    </row>
    <row r="47" spans="1:7" ht="15.75" x14ac:dyDescent="0.25">
      <c r="A47" s="69" t="s">
        <v>324</v>
      </c>
      <c r="B47" s="162">
        <v>2847.6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62">
        <v>3457.8</v>
      </c>
      <c r="C48" s="62"/>
      <c r="D48" s="59"/>
      <c r="E48" s="54" t="s">
        <v>269</v>
      </c>
      <c r="F48" s="54"/>
      <c r="G48" s="54"/>
    </row>
    <row r="49" spans="1:5" ht="15.75" x14ac:dyDescent="0.25">
      <c r="A49" s="75" t="s">
        <v>518</v>
      </c>
      <c r="B49" s="162">
        <v>12976.59</v>
      </c>
      <c r="C49" s="62"/>
      <c r="D49" s="59"/>
      <c r="E49" s="54"/>
    </row>
    <row r="50" spans="1:5" ht="15.75" x14ac:dyDescent="0.25">
      <c r="A50" s="75" t="s">
        <v>281</v>
      </c>
      <c r="B50" s="167">
        <v>115.73</v>
      </c>
      <c r="C50" s="62"/>
      <c r="D50" s="59">
        <v>4190</v>
      </c>
      <c r="E50" s="54"/>
    </row>
    <row r="51" spans="1:5" ht="15.75" hidden="1" x14ac:dyDescent="0.25">
      <c r="A51" s="75" t="s">
        <v>272</v>
      </c>
      <c r="B51" s="11">
        <v>0</v>
      </c>
      <c r="C51" s="62"/>
      <c r="D51" s="59"/>
      <c r="E51" s="54"/>
    </row>
    <row r="52" spans="1:5" ht="15.75" hidden="1" x14ac:dyDescent="0.25">
      <c r="A52" s="75" t="s">
        <v>273</v>
      </c>
      <c r="B52" s="11">
        <f>B21*'[1]34тарифы'!D177</f>
        <v>0</v>
      </c>
      <c r="C52" s="62"/>
      <c r="D52" s="59">
        <v>105.14</v>
      </c>
      <c r="E52" s="54"/>
    </row>
    <row r="53" spans="1:5" ht="15.75" hidden="1" x14ac:dyDescent="0.25">
      <c r="A53" s="75" t="s">
        <v>274</v>
      </c>
      <c r="B53" s="11">
        <v>0</v>
      </c>
      <c r="C53" s="62">
        <v>0</v>
      </c>
      <c r="D53" s="59">
        <v>522.99</v>
      </c>
      <c r="E53" s="54"/>
    </row>
    <row r="54" spans="1:5" ht="15.75" hidden="1" x14ac:dyDescent="0.25">
      <c r="A54" s="75" t="s">
        <v>275</v>
      </c>
      <c r="B54" s="11">
        <v>0</v>
      </c>
      <c r="C54" s="62">
        <v>0</v>
      </c>
      <c r="D54" s="76">
        <v>695.13</v>
      </c>
      <c r="E54" s="54"/>
    </row>
    <row r="55" spans="1:5" ht="15.75" hidden="1" x14ac:dyDescent="0.25">
      <c r="A55" s="75" t="s">
        <v>276</v>
      </c>
      <c r="B55" s="11">
        <v>0</v>
      </c>
      <c r="C55" s="62"/>
      <c r="D55" s="76"/>
      <c r="E55" s="54"/>
    </row>
    <row r="56" spans="1:5" ht="15.75" hidden="1" x14ac:dyDescent="0.25">
      <c r="A56" s="75" t="s">
        <v>277</v>
      </c>
      <c r="B56" s="11">
        <v>0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312</v>
      </c>
      <c r="B57" s="11">
        <v>0</v>
      </c>
      <c r="C57" s="62">
        <v>0</v>
      </c>
      <c r="D57" s="59">
        <f>2300/1.18</f>
        <v>1949.1525423728815</v>
      </c>
      <c r="E57" s="54"/>
    </row>
    <row r="58" spans="1:5" ht="15.75" x14ac:dyDescent="0.25">
      <c r="A58" s="75" t="s">
        <v>314</v>
      </c>
      <c r="B58" s="162">
        <f>VLOOKUP(A5,'[2]МКД 33'!$AI:$FO,137,FALSE)</f>
        <v>10487.07</v>
      </c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</row>
    <row r="60" spans="1:5" ht="15.75" hidden="1" x14ac:dyDescent="0.25">
      <c r="A60" s="69" t="s">
        <v>279</v>
      </c>
      <c r="B60" s="11">
        <v>0</v>
      </c>
      <c r="C60" s="57"/>
      <c r="D60" s="59"/>
      <c r="E60" s="54"/>
    </row>
    <row r="61" spans="1:5" ht="15.75" hidden="1" x14ac:dyDescent="0.25">
      <c r="A61" s="69" t="s">
        <v>280</v>
      </c>
      <c r="B61" s="11">
        <v>0</v>
      </c>
      <c r="C61" s="62"/>
      <c r="D61" s="59">
        <v>0</v>
      </c>
      <c r="E61" s="54"/>
    </row>
    <row r="62" spans="1:5" ht="15.75" hidden="1" x14ac:dyDescent="0.25">
      <c r="A62" s="69" t="s">
        <v>336</v>
      </c>
      <c r="B62" s="11">
        <v>0</v>
      </c>
      <c r="C62" s="62"/>
      <c r="D62" s="59">
        <v>0</v>
      </c>
      <c r="E62" s="54"/>
    </row>
    <row r="63" spans="1:5" ht="16.5" thickBot="1" x14ac:dyDescent="0.3">
      <c r="A63" s="69" t="s">
        <v>337</v>
      </c>
      <c r="B63" s="162">
        <v>13790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33</v>
      </c>
      <c r="D64" s="62">
        <v>2</v>
      </c>
      <c r="E64" s="54">
        <v>1</v>
      </c>
    </row>
    <row r="65" spans="1:4" s="55" customFormat="1" ht="16.5" hidden="1" thickBot="1" x14ac:dyDescent="0.3">
      <c r="A65" s="69" t="s">
        <v>284</v>
      </c>
      <c r="B65" s="132">
        <v>0</v>
      </c>
      <c r="C65" s="80">
        <v>35</v>
      </c>
      <c r="D65" s="73">
        <f>650/1.18</f>
        <v>550.84745762711873</v>
      </c>
    </row>
    <row r="66" spans="1:4" s="55" customFormat="1" ht="16.5" thickBot="1" x14ac:dyDescent="0.3">
      <c r="A66" s="175" t="s">
        <v>285</v>
      </c>
      <c r="B66" s="121">
        <f>SUM(B67:B74)</f>
        <v>133444.2700395264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51793*1.04*1.1194*1.0952</f>
        <v>66036.362720473597</v>
      </c>
      <c r="C68" s="56"/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2024.1900000000003</v>
      </c>
      <c r="C70" s="60"/>
      <c r="D70" s="73"/>
    </row>
    <row r="71" spans="1:4" ht="15.75" x14ac:dyDescent="0.25">
      <c r="A71" s="74" t="s">
        <v>290</v>
      </c>
      <c r="B71" s="11">
        <f>5.06*B15</f>
        <v>7586.9639999999999</v>
      </c>
      <c r="C71" s="81"/>
      <c r="D71" s="60"/>
    </row>
    <row r="72" spans="1:4" ht="15.75" x14ac:dyDescent="0.25">
      <c r="A72" s="74" t="s">
        <v>291</v>
      </c>
      <c r="B72" s="11">
        <f>17.68*B15</f>
        <v>26509.392</v>
      </c>
      <c r="C72" s="73"/>
      <c r="D72" s="60"/>
    </row>
    <row r="73" spans="1:4" ht="15.75" x14ac:dyDescent="0.25">
      <c r="A73" s="25" t="s">
        <v>292</v>
      </c>
      <c r="B73" s="11">
        <f>2598*1.04*1.1194*1.0952</f>
        <v>3312.4644324095998</v>
      </c>
      <c r="C73" s="73"/>
      <c r="D73" s="60"/>
    </row>
    <row r="74" spans="1:4" ht="15.75" x14ac:dyDescent="0.25">
      <c r="A74" s="74" t="s">
        <v>293</v>
      </c>
      <c r="B74" s="11">
        <f>21941*1.04*1.1194*1.0952</f>
        <v>27974.896886643197</v>
      </c>
      <c r="C74" s="73"/>
      <c r="D74" s="60"/>
    </row>
    <row r="75" spans="1:4" ht="47.25" x14ac:dyDescent="0.25">
      <c r="A75" s="213" t="s">
        <v>326</v>
      </c>
      <c r="B75" s="121">
        <f>SUM(B76:B76)</f>
        <v>57011.873400767989</v>
      </c>
      <c r="C75" s="73"/>
      <c r="D75" s="60"/>
    </row>
    <row r="76" spans="1:4" ht="15.75" x14ac:dyDescent="0.25">
      <c r="A76" s="74" t="s">
        <v>295</v>
      </c>
      <c r="B76" s="11">
        <f>44715*1.04*1.1194*1.0952</f>
        <v>57011.873400767989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54280.210015316472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'[1]34тарифы'!D170*B15*1.1194*1.0952</f>
        <v>39610.108467573271</v>
      </c>
      <c r="C78" s="63"/>
      <c r="D78" s="60"/>
    </row>
    <row r="79" spans="1:4" ht="16.5" thickBot="1" x14ac:dyDescent="0.3">
      <c r="A79" s="35" t="s">
        <v>298</v>
      </c>
      <c r="B79" s="11">
        <f>(B26/1.2)*30%</f>
        <v>5841.55</v>
      </c>
      <c r="C79" s="65"/>
      <c r="D79" s="73"/>
    </row>
    <row r="80" spans="1:4" ht="15.75" x14ac:dyDescent="0.25">
      <c r="A80" s="83" t="s">
        <v>328</v>
      </c>
      <c r="B80" s="11">
        <f>2930.5+2587.39</f>
        <v>5517.8899999999994</v>
      </c>
      <c r="C80" s="81"/>
      <c r="D80" s="60"/>
    </row>
    <row r="81" spans="1:4" ht="15.75" x14ac:dyDescent="0.25">
      <c r="A81" s="83" t="s">
        <v>329</v>
      </c>
      <c r="B81" s="11">
        <f>'[1]34тарифы'!D173*B13*1.1194*1.0952</f>
        <v>3310.6615477432015</v>
      </c>
      <c r="C81" s="73"/>
      <c r="D81" s="60"/>
    </row>
    <row r="82" spans="1:4" ht="15.75" x14ac:dyDescent="0.25">
      <c r="A82" s="214" t="s">
        <v>301</v>
      </c>
      <c r="B82" s="14">
        <f>B32+B42+B46+B66+B75+B77</f>
        <v>442503.41349021147</v>
      </c>
      <c r="C82" s="73"/>
      <c r="D82" s="60"/>
    </row>
    <row r="83" spans="1:4" ht="15.75" x14ac:dyDescent="0.25">
      <c r="A83" s="215" t="s">
        <v>302</v>
      </c>
      <c r="B83" s="11">
        <f>B82*0.03</f>
        <v>13275.102404706344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455778.51589491783</v>
      </c>
      <c r="C84" s="73"/>
      <c r="D84" s="60"/>
    </row>
    <row r="85" spans="1:4" ht="16.5" thickBot="1" x14ac:dyDescent="0.3">
      <c r="A85" s="217" t="s">
        <v>304</v>
      </c>
      <c r="B85" s="142">
        <f>B84*0.2</f>
        <v>91155.703178983575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546934.21907390142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-1220496.5990739015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28000000}">
    <filterColumn colId="1">
      <filters>
        <filter val="-1 220 496,60"/>
        <filter val="10 487,07"/>
        <filter val="115,73"/>
        <filter val="118 905,28"/>
        <filter val="12 976,59"/>
        <filter val="13 275,10"/>
        <filter val="13 790,00"/>
        <filter val="133 444,27"/>
        <filter val="2 024,19"/>
        <filter val="2 847,60"/>
        <filter val="25 217,90"/>
        <filter val="26 509,39"/>
        <filter val="27 305,68"/>
        <filter val="27 974,90"/>
        <filter val="28 747,99"/>
        <filter val="3 310,66"/>
        <filter val="3 312,46"/>
        <filter val="3 457,80"/>
        <filter val="35 186,99"/>
        <filter val="39 610,11"/>
        <filter val="43 674,79"/>
        <filter val="442 503,41"/>
        <filter val="455 778,52"/>
        <filter val="5 517,89"/>
        <filter val="5 841,55"/>
        <filter val="54 280,21"/>
        <filter val="546 934,22"/>
        <filter val="56 371,70"/>
        <filter val="57 011,87"/>
        <filter val="6 479,91"/>
        <filter val="66 036,36"/>
        <filter val="7 586,96"/>
        <filter val="9 969,09"/>
        <filter val="91 155,7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2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filterMode="1">
    <pageSetUpPr fitToPage="1"/>
  </sheetPr>
  <dimension ref="A1:G95"/>
  <sheetViews>
    <sheetView view="pageBreakPreview" topLeftCell="A70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69"/>
      <c r="C1" s="54"/>
      <c r="D1" s="54"/>
    </row>
    <row r="2" spans="1:4" ht="16.5" x14ac:dyDescent="0.25">
      <c r="A2" s="281" t="s">
        <v>225</v>
      </c>
      <c r="B2" s="270"/>
      <c r="C2" s="54"/>
      <c r="D2" s="54"/>
    </row>
    <row r="3" spans="1:4" ht="16.5" x14ac:dyDescent="0.25">
      <c r="A3" s="281" t="s">
        <v>226</v>
      </c>
      <c r="B3" s="270"/>
      <c r="C3" s="54"/>
      <c r="D3" s="54"/>
    </row>
    <row r="4" spans="1:4" ht="15.75" x14ac:dyDescent="0.25">
      <c r="A4" s="201" t="s">
        <v>494</v>
      </c>
      <c r="B4" s="184"/>
      <c r="C4" s="54"/>
      <c r="D4" s="54"/>
    </row>
    <row r="5" spans="1:4" ht="15.75" x14ac:dyDescent="0.25">
      <c r="A5" s="201" t="s">
        <v>132</v>
      </c>
      <c r="B5" s="184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-889764.02</v>
      </c>
      <c r="C10" s="205"/>
      <c r="D10" s="206"/>
    </row>
    <row r="11" spans="1:4" ht="16.5" hidden="1" thickBot="1" x14ac:dyDescent="0.25">
      <c r="A11" s="207" t="s">
        <v>232</v>
      </c>
      <c r="B11" s="239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2601.8000000000002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0</v>
      </c>
      <c r="C14" s="60"/>
      <c r="D14" s="59"/>
    </row>
    <row r="15" spans="1:4" ht="15.75" hidden="1" x14ac:dyDescent="0.25">
      <c r="A15" s="58" t="s">
        <v>237</v>
      </c>
      <c r="B15" s="11">
        <f>B13+B14</f>
        <v>2601.8000000000002</v>
      </c>
      <c r="C15" s="61"/>
      <c r="D15" s="62"/>
    </row>
    <row r="16" spans="1:4" ht="16.5" hidden="1" thickBot="1" x14ac:dyDescent="0.3">
      <c r="A16" s="58" t="s">
        <v>238</v>
      </c>
      <c r="B16" s="11">
        <f>527.8+2020.8/3</f>
        <v>1201.4000000000001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98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98">
        <v>675.1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98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98">
        <v>742.6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98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98">
        <v>134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509381.42</v>
      </c>
      <c r="C24" s="59"/>
      <c r="D24" s="62"/>
      <c r="E24" s="194">
        <v>14.389999999999999</v>
      </c>
      <c r="F24" s="195">
        <v>16.108165999999997</v>
      </c>
      <c r="G24" s="54"/>
    </row>
    <row r="25" spans="1:7" ht="16.5" thickBot="1" x14ac:dyDescent="0.3">
      <c r="A25" s="64" t="s">
        <v>318</v>
      </c>
      <c r="B25" s="14">
        <f>VLOOKUP(A5,мкд!W:Y,3,FALSE)</f>
        <v>466715.74</v>
      </c>
      <c r="C25" s="63"/>
      <c r="D25" s="62"/>
      <c r="E25" s="54"/>
      <c r="F25" s="54"/>
      <c r="G25" s="54"/>
    </row>
    <row r="26" spans="1:7" ht="15.75" hidden="1" x14ac:dyDescent="0.25">
      <c r="A26" s="64" t="s">
        <v>319</v>
      </c>
      <c r="B26" s="161"/>
      <c r="C26" s="57"/>
      <c r="D26" s="59"/>
      <c r="E26" s="54"/>
      <c r="F26" s="54"/>
      <c r="G26" s="54"/>
    </row>
    <row r="27" spans="1:7" ht="16.5" hidden="1" thickBot="1" x14ac:dyDescent="0.3">
      <c r="A27" s="64" t="s">
        <v>248</v>
      </c>
      <c r="B27" s="161">
        <f>B26</f>
        <v>0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7459.44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61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71020.17</v>
      </c>
      <c r="C32" s="59"/>
      <c r="D32" s="62"/>
      <c r="E32" s="67">
        <f>(B86-B26-B24)/1.2/1.03</f>
        <v>146853.07166109531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v>59351.45</v>
      </c>
      <c r="C33" s="63"/>
      <c r="D33" s="62">
        <v>21980.7</v>
      </c>
      <c r="E33" s="54"/>
      <c r="F33" s="54"/>
      <c r="G33" s="54"/>
    </row>
    <row r="34" spans="1:7" ht="15.75" hidden="1" x14ac:dyDescent="0.25">
      <c r="A34" s="69" t="s">
        <v>320</v>
      </c>
      <c r="B34" s="11">
        <v>0</v>
      </c>
      <c r="C34" s="57"/>
      <c r="D34" s="59">
        <v>0</v>
      </c>
      <c r="E34" s="54"/>
      <c r="F34" s="54"/>
      <c r="G34" s="54"/>
    </row>
    <row r="35" spans="1:7" ht="15.75" x14ac:dyDescent="0.25">
      <c r="A35" s="69" t="s">
        <v>256</v>
      </c>
      <c r="B35" s="11">
        <v>3429.73</v>
      </c>
      <c r="C35" s="62"/>
      <c r="D35" s="59">
        <v>0</v>
      </c>
      <c r="E35" s="54"/>
      <c r="F35" s="54"/>
      <c r="G35" s="54"/>
    </row>
    <row r="36" spans="1:7" ht="15.75" hidden="1" x14ac:dyDescent="0.25">
      <c r="A36" s="69" t="s">
        <v>255</v>
      </c>
      <c r="B36" s="11"/>
      <c r="C36" s="62" t="s">
        <v>234</v>
      </c>
      <c r="D36" s="59">
        <v>0</v>
      </c>
      <c r="E36" s="54"/>
      <c r="F36" s="54"/>
      <c r="G36" s="54"/>
    </row>
    <row r="37" spans="1:7" ht="16.5" thickBot="1" x14ac:dyDescent="0.3">
      <c r="A37" s="69" t="s">
        <v>257</v>
      </c>
      <c r="B37" s="11">
        <v>8238.99</v>
      </c>
      <c r="C37" s="62"/>
      <c r="D37" s="59">
        <v>0</v>
      </c>
      <c r="E37" s="54"/>
      <c r="F37" s="54"/>
      <c r="G37" s="54"/>
    </row>
    <row r="38" spans="1:7" ht="16.5" hidden="1" thickBot="1" x14ac:dyDescent="0.3">
      <c r="A38" s="69" t="s">
        <v>339</v>
      </c>
      <c r="B38" s="11">
        <v>0</v>
      </c>
      <c r="C38" s="62"/>
      <c r="D38" s="59">
        <v>0</v>
      </c>
      <c r="E38" s="54"/>
      <c r="F38" s="54"/>
      <c r="G38" s="54"/>
    </row>
    <row r="39" spans="1:7" ht="16.5" hidden="1" thickBot="1" x14ac:dyDescent="0.3">
      <c r="A39" s="69" t="s">
        <v>322</v>
      </c>
      <c r="B39" s="98">
        <v>0</v>
      </c>
      <c r="C39" s="62"/>
      <c r="D39" s="59">
        <v>0</v>
      </c>
      <c r="E39" s="54"/>
      <c r="F39" s="54"/>
      <c r="G39" s="54"/>
    </row>
    <row r="40" spans="1:7" ht="16.5" hidden="1" thickBot="1" x14ac:dyDescent="0.3">
      <c r="A40" s="69" t="s">
        <v>310</v>
      </c>
      <c r="B40" s="98">
        <v>0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339</v>
      </c>
      <c r="B41" s="98"/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65919.736604336038</v>
      </c>
      <c r="C42" s="56"/>
      <c r="D42" s="62"/>
      <c r="E42" s="67"/>
      <c r="F42" s="67"/>
      <c r="G42" s="67"/>
    </row>
    <row r="43" spans="1:7" ht="15.75" x14ac:dyDescent="0.25">
      <c r="A43" s="69" t="s">
        <v>262</v>
      </c>
      <c r="B43" s="11">
        <v>27655.51</v>
      </c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21232.36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('[1]34тарифы'!D163*B15+88.84)*1.1194*1.0952</f>
        <v>17031.86660433605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83865.200000000012</v>
      </c>
      <c r="C46" s="56"/>
      <c r="D46" s="62"/>
    </row>
    <row r="47" spans="1:7" ht="15.75" x14ac:dyDescent="0.25">
      <c r="A47" s="69" t="s">
        <v>324</v>
      </c>
      <c r="B47" s="162">
        <v>2835.36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62">
        <v>3442.98</v>
      </c>
      <c r="C48" s="62"/>
      <c r="D48" s="59"/>
      <c r="E48" s="54" t="s">
        <v>269</v>
      </c>
      <c r="F48" s="54"/>
      <c r="G48" s="54"/>
    </row>
    <row r="49" spans="1:5" ht="15.75" x14ac:dyDescent="0.25">
      <c r="A49" s="75" t="s">
        <v>281</v>
      </c>
      <c r="B49" s="98">
        <v>39.43</v>
      </c>
      <c r="C49" s="62"/>
      <c r="D49" s="59"/>
      <c r="E49" s="54"/>
    </row>
    <row r="50" spans="1:5" ht="15.75" hidden="1" x14ac:dyDescent="0.25">
      <c r="A50" s="75" t="s">
        <v>271</v>
      </c>
      <c r="B50" s="98">
        <v>0</v>
      </c>
      <c r="C50" s="62"/>
      <c r="D50" s="59">
        <v>4190</v>
      </c>
      <c r="E50" s="54"/>
    </row>
    <row r="51" spans="1:5" ht="15.75" hidden="1" x14ac:dyDescent="0.25">
      <c r="A51" s="75" t="s">
        <v>345</v>
      </c>
      <c r="B51" s="98">
        <v>0</v>
      </c>
      <c r="C51" s="62"/>
      <c r="D51" s="59"/>
      <c r="E51" s="54"/>
    </row>
    <row r="52" spans="1:5" ht="15" customHeight="1" x14ac:dyDescent="0.25">
      <c r="A52" s="75" t="s">
        <v>520</v>
      </c>
      <c r="B52" s="98">
        <v>4200</v>
      </c>
      <c r="C52" s="62"/>
      <c r="D52" s="59">
        <v>105.14</v>
      </c>
      <c r="E52" s="54"/>
    </row>
    <row r="53" spans="1:5" ht="15.75" x14ac:dyDescent="0.25">
      <c r="A53" s="75" t="s">
        <v>353</v>
      </c>
      <c r="B53" s="11">
        <v>8133.62</v>
      </c>
      <c r="C53" s="62">
        <v>1</v>
      </c>
      <c r="D53" s="59">
        <v>522.99</v>
      </c>
      <c r="E53" s="54"/>
    </row>
    <row r="54" spans="1:5" ht="15.75" x14ac:dyDescent="0.25">
      <c r="A54" s="95" t="s">
        <v>484</v>
      </c>
      <c r="B54" s="162">
        <v>24000</v>
      </c>
      <c r="C54" s="62">
        <v>1</v>
      </c>
      <c r="D54" s="76">
        <v>657.53</v>
      </c>
      <c r="E54" s="54"/>
    </row>
    <row r="55" spans="1:5" ht="15.75" hidden="1" x14ac:dyDescent="0.25">
      <c r="A55" s="75" t="s">
        <v>276</v>
      </c>
      <c r="B55" s="98">
        <v>0</v>
      </c>
      <c r="C55" s="62"/>
      <c r="D55" s="76"/>
      <c r="E55" s="54"/>
    </row>
    <row r="56" spans="1:5" ht="15.75" hidden="1" x14ac:dyDescent="0.25">
      <c r="A56" s="75" t="s">
        <v>277</v>
      </c>
      <c r="B56" s="98">
        <v>0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274</v>
      </c>
      <c r="B57" s="98"/>
      <c r="C57" s="62">
        <v>0</v>
      </c>
      <c r="D57" s="59">
        <f>2300/1.18</f>
        <v>1949.1525423728815</v>
      </c>
      <c r="E57" s="54"/>
    </row>
    <row r="58" spans="1:5" ht="15.75" hidden="1" x14ac:dyDescent="0.25">
      <c r="A58" s="75" t="s">
        <v>344</v>
      </c>
      <c r="B58" s="98"/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</row>
    <row r="60" spans="1:5" ht="15.75" x14ac:dyDescent="0.25">
      <c r="A60" s="69" t="s">
        <v>518</v>
      </c>
      <c r="B60" s="162">
        <v>21828.77</v>
      </c>
      <c r="C60" s="57"/>
      <c r="D60" s="59"/>
      <c r="E60" s="54"/>
    </row>
    <row r="61" spans="1:5" ht="15.75" hidden="1" x14ac:dyDescent="0.25">
      <c r="A61" s="69" t="s">
        <v>342</v>
      </c>
      <c r="B61" s="98"/>
      <c r="C61" s="62"/>
      <c r="D61" s="59">
        <v>0</v>
      </c>
      <c r="E61" s="54"/>
    </row>
    <row r="62" spans="1:5" ht="15.75" hidden="1" x14ac:dyDescent="0.25">
      <c r="A62" s="69" t="s">
        <v>343</v>
      </c>
      <c r="B62" s="11"/>
      <c r="C62" s="62"/>
      <c r="D62" s="59">
        <v>0</v>
      </c>
      <c r="E62" s="54"/>
    </row>
    <row r="63" spans="1:5" ht="16.5" thickBot="1" x14ac:dyDescent="0.3">
      <c r="A63" s="69" t="s">
        <v>337</v>
      </c>
      <c r="B63" s="132">
        <v>19385.04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60</v>
      </c>
      <c r="D64" s="62">
        <v>2</v>
      </c>
      <c r="E64" s="54">
        <v>1</v>
      </c>
    </row>
    <row r="65" spans="1:4" s="55" customFormat="1" ht="16.5" hidden="1" thickBot="1" x14ac:dyDescent="0.3">
      <c r="A65" s="69" t="s">
        <v>284</v>
      </c>
      <c r="B65" s="178">
        <v>0</v>
      </c>
      <c r="C65" s="80"/>
      <c r="D65" s="73">
        <v>0</v>
      </c>
    </row>
    <row r="66" spans="1:4" s="55" customFormat="1" ht="16.5" thickBot="1" x14ac:dyDescent="0.3">
      <c r="A66" s="175" t="s">
        <v>285</v>
      </c>
      <c r="B66" s="121">
        <f>SUM(B67:B74)</f>
        <v>153276.6972963968</v>
      </c>
      <c r="C66" s="56"/>
      <c r="D66" s="60"/>
    </row>
    <row r="67" spans="1:4" ht="16.5" hidden="1" thickBot="1" x14ac:dyDescent="0.3">
      <c r="A67" s="69" t="s">
        <v>286</v>
      </c>
      <c r="B67" s="98">
        <v>0</v>
      </c>
      <c r="C67" s="65"/>
      <c r="D67" s="73"/>
    </row>
    <row r="68" spans="1:4" ht="16.5" thickBot="1" x14ac:dyDescent="0.3">
      <c r="A68" s="69" t="s">
        <v>287</v>
      </c>
      <c r="B68" s="11">
        <f>50574.13*1.0952</f>
        <v>55388.787175999998</v>
      </c>
      <c r="C68" s="56"/>
      <c r="D68" s="60"/>
    </row>
    <row r="69" spans="1:4" ht="15.75" hidden="1" x14ac:dyDescent="0.25">
      <c r="A69" s="69" t="s">
        <v>288</v>
      </c>
      <c r="B69" s="98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3512.4300000000003</v>
      </c>
      <c r="C70" s="60"/>
      <c r="D70" s="73"/>
    </row>
    <row r="71" spans="1:4" ht="15.75" x14ac:dyDescent="0.25">
      <c r="A71" s="74" t="s">
        <v>290</v>
      </c>
      <c r="B71" s="11">
        <f>5.06*B15</f>
        <v>13165.108</v>
      </c>
      <c r="C71" s="81"/>
      <c r="D71" s="60"/>
    </row>
    <row r="72" spans="1:4" ht="15.75" x14ac:dyDescent="0.25">
      <c r="A72" s="74" t="s">
        <v>291</v>
      </c>
      <c r="B72" s="11">
        <f>17.68*B15</f>
        <v>45999.824000000001</v>
      </c>
      <c r="C72" s="73"/>
      <c r="D72" s="60"/>
    </row>
    <row r="73" spans="1:4" ht="15.75" x14ac:dyDescent="0.25">
      <c r="A73" s="25" t="s">
        <v>292</v>
      </c>
      <c r="B73" s="11">
        <f>4509*1.04*1.1194*1.0952</f>
        <v>5749.0000483968006</v>
      </c>
      <c r="C73" s="73"/>
      <c r="D73" s="60"/>
    </row>
    <row r="74" spans="1:4" ht="15.75" x14ac:dyDescent="0.25">
      <c r="A74" s="74" t="s">
        <v>293</v>
      </c>
      <c r="B74" s="11">
        <f>26900.61*1.0952</f>
        <v>29461.548071999998</v>
      </c>
      <c r="C74" s="73"/>
      <c r="D74" s="60"/>
    </row>
    <row r="75" spans="1:4" ht="47.25" x14ac:dyDescent="0.25">
      <c r="A75" s="213" t="s">
        <v>326</v>
      </c>
      <c r="B75" s="121">
        <f>SUM(B76:B76)</f>
        <v>96922.943887999994</v>
      </c>
      <c r="C75" s="73"/>
      <c r="D75" s="60"/>
    </row>
    <row r="76" spans="1:4" ht="15.75" x14ac:dyDescent="0.25">
      <c r="A76" s="74" t="s">
        <v>295</v>
      </c>
      <c r="B76" s="11">
        <f>88497.94*1.0952</f>
        <v>96922.943887999994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87969.213839999997</v>
      </c>
      <c r="C77" s="73"/>
      <c r="D77" s="60"/>
    </row>
    <row r="78" spans="1:4" ht="32.25" thickBot="1" x14ac:dyDescent="0.3">
      <c r="A78" s="82" t="s">
        <v>327</v>
      </c>
      <c r="B78" s="11">
        <f>62757.99*1.0952</f>
        <v>68732.550647999989</v>
      </c>
      <c r="C78" s="63"/>
      <c r="D78" s="60"/>
    </row>
    <row r="79" spans="1:4" ht="16.5" hidden="1" thickBot="1" x14ac:dyDescent="0.3">
      <c r="A79" s="35" t="s">
        <v>298</v>
      </c>
      <c r="B79" s="11">
        <f>(B26/1.2)*30%</f>
        <v>0</v>
      </c>
      <c r="C79" s="65"/>
      <c r="D79" s="73"/>
    </row>
    <row r="80" spans="1:4" ht="15.75" x14ac:dyDescent="0.25">
      <c r="A80" s="83" t="s">
        <v>328</v>
      </c>
      <c r="B80" s="11">
        <f>8279.81+4696.46</f>
        <v>12976.27</v>
      </c>
      <c r="C80" s="81"/>
      <c r="D80" s="60"/>
    </row>
    <row r="81" spans="1:4" ht="15.75" x14ac:dyDescent="0.25">
      <c r="A81" s="83" t="s">
        <v>329</v>
      </c>
      <c r="B81" s="11">
        <f>5716.21*1.0952</f>
        <v>6260.3931919999995</v>
      </c>
      <c r="C81" s="73"/>
      <c r="D81" s="60"/>
    </row>
    <row r="82" spans="1:4" ht="15.75" x14ac:dyDescent="0.25">
      <c r="A82" s="214" t="s">
        <v>301</v>
      </c>
      <c r="B82" s="14">
        <f>B32+B42+B46+B66+B75+B77</f>
        <v>558973.96162873285</v>
      </c>
      <c r="C82" s="73"/>
      <c r="D82" s="60"/>
    </row>
    <row r="83" spans="1:4" ht="15.75" x14ac:dyDescent="0.25">
      <c r="A83" s="215" t="s">
        <v>302</v>
      </c>
      <c r="B83" s="11">
        <f>B82*0.03</f>
        <v>16769.218848861987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575743.18047759484</v>
      </c>
      <c r="C84" s="73"/>
      <c r="D84" s="60"/>
    </row>
    <row r="85" spans="1:4" ht="16.5" thickBot="1" x14ac:dyDescent="0.3">
      <c r="A85" s="217" t="s">
        <v>304</v>
      </c>
      <c r="B85" s="142">
        <f>B84*0.2</f>
        <v>115148.63609551897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690891.81657311379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-1063814.9765731138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67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29000000}">
    <filterColumn colId="1">
      <filters>
        <filter val="-1 063 814,98"/>
        <filter val="115 148,64"/>
        <filter val="12 976,27"/>
        <filter val="13 165,11"/>
        <filter val="153 276,70"/>
        <filter val="16 769,22"/>
        <filter val="17 031,87"/>
        <filter val="19 385,04"/>
        <filter val="2 835,36"/>
        <filter val="21 232,36"/>
        <filter val="21 828,77"/>
        <filter val="24 000,00"/>
        <filter val="27 655,51"/>
        <filter val="29 461,55"/>
        <filter val="3 429,73"/>
        <filter val="3 442,98"/>
        <filter val="3 512,43"/>
        <filter val="39,43"/>
        <filter val="4 200,00"/>
        <filter val="45 999,82"/>
        <filter val="5 749,00"/>
        <filter val="55 388,79"/>
        <filter val="558 973,96"/>
        <filter val="575 743,18"/>
        <filter val="59 351,45"/>
        <filter val="6 260,39"/>
        <filter val="65 919,74"/>
        <filter val="68 732,55"/>
        <filter val="690 891,82"/>
        <filter val="71 020,17"/>
        <filter val="8 133,62"/>
        <filter val="8 238,99"/>
        <filter val="83 865,20"/>
        <filter val="87 969,21"/>
        <filter val="96 922,94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filterMode="1">
    <pageSetUpPr fitToPage="1"/>
  </sheetPr>
  <dimension ref="A1:G95"/>
  <sheetViews>
    <sheetView view="pageBreakPreview" topLeftCell="A51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483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135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-439006.6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1444.5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134.6</v>
      </c>
      <c r="C14" s="60"/>
      <c r="D14" s="59"/>
    </row>
    <row r="15" spans="1:4" ht="15.75" hidden="1" x14ac:dyDescent="0.25">
      <c r="A15" s="58" t="s">
        <v>237</v>
      </c>
      <c r="B15" s="11">
        <f>B13+B14</f>
        <v>1579.1</v>
      </c>
      <c r="C15" s="61"/>
      <c r="D15" s="62"/>
    </row>
    <row r="16" spans="1:4" ht="16.5" hidden="1" thickBot="1" x14ac:dyDescent="0.3">
      <c r="A16" s="58" t="s">
        <v>238</v>
      </c>
      <c r="B16" s="11">
        <f>1137.1+858/3</f>
        <v>1423.1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679.3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883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63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332254.06</v>
      </c>
      <c r="C24" s="59"/>
      <c r="D24" s="62"/>
      <c r="E24" s="194">
        <v>16.96</v>
      </c>
      <c r="F24" s="195">
        <v>18.985023999999999</v>
      </c>
      <c r="G24" s="54"/>
    </row>
    <row r="25" spans="1:7" ht="16.5" thickBot="1" x14ac:dyDescent="0.3">
      <c r="A25" s="64" t="s">
        <v>318</v>
      </c>
      <c r="B25" s="14">
        <f>VLOOKUP(A5,мкд!W:Y,3,FALSE)</f>
        <v>320881.89</v>
      </c>
      <c r="C25" s="63"/>
      <c r="D25" s="62"/>
      <c r="E25" s="54"/>
      <c r="F25" s="54"/>
      <c r="G25" s="54"/>
    </row>
    <row r="26" spans="1:7" ht="15.75" x14ac:dyDescent="0.25">
      <c r="A26" s="64" t="s">
        <v>348</v>
      </c>
      <c r="B26" s="14">
        <v>30862.43</v>
      </c>
      <c r="C26" s="57"/>
      <c r="D26" s="59"/>
      <c r="E26" s="54"/>
      <c r="F26" s="54"/>
      <c r="G26" s="54"/>
    </row>
    <row r="27" spans="1:7" ht="16.5" thickBot="1" x14ac:dyDescent="0.3">
      <c r="A27" s="64" t="s">
        <v>349</v>
      </c>
      <c r="B27" s="14">
        <v>23228.28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7459.44</v>
      </c>
      <c r="C28" s="56"/>
      <c r="D28" s="62"/>
      <c r="E28" s="54"/>
      <c r="F28" s="54"/>
      <c r="G28" s="54"/>
    </row>
    <row r="29" spans="1:7" ht="16.5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98519.06</v>
      </c>
      <c r="C32" s="59"/>
      <c r="D32" s="62"/>
      <c r="E32" s="67">
        <f>(B86-B26-B24)/1.2/1.03</f>
        <v>228294.30526812858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f>43464.73</f>
        <v>43464.73</v>
      </c>
      <c r="C33" s="63"/>
      <c r="D33" s="62">
        <v>11531.54</v>
      </c>
      <c r="E33" s="54">
        <v>5129.41</v>
      </c>
      <c r="F33" s="54"/>
      <c r="G33" s="54"/>
    </row>
    <row r="34" spans="1:7" ht="15.75" hidden="1" x14ac:dyDescent="0.25">
      <c r="A34" s="69" t="s">
        <v>320</v>
      </c>
      <c r="B34" s="11"/>
      <c r="C34" s="57"/>
      <c r="D34" s="59">
        <v>0</v>
      </c>
      <c r="E34" s="54"/>
      <c r="F34" s="54"/>
      <c r="G34" s="54"/>
    </row>
    <row r="35" spans="1:7" ht="15.75" x14ac:dyDescent="0.25">
      <c r="A35" s="69" t="s">
        <v>256</v>
      </c>
      <c r="B35" s="11">
        <v>8928.01</v>
      </c>
      <c r="C35" s="62"/>
      <c r="D35" s="59">
        <v>0</v>
      </c>
      <c r="E35" s="54"/>
      <c r="F35" s="54"/>
      <c r="G35" s="54"/>
    </row>
    <row r="36" spans="1:7" ht="15.75" x14ac:dyDescent="0.25">
      <c r="A36" s="69" t="s">
        <v>255</v>
      </c>
      <c r="B36" s="11">
        <v>21376.420000000002</v>
      </c>
      <c r="C36" s="62" t="s">
        <v>234</v>
      </c>
      <c r="D36" s="59">
        <v>0</v>
      </c>
      <c r="E36" s="54"/>
      <c r="F36" s="54"/>
      <c r="G36" s="54"/>
    </row>
    <row r="37" spans="1:7" ht="15.75" hidden="1" x14ac:dyDescent="0.25">
      <c r="A37" s="69" t="s">
        <v>257</v>
      </c>
      <c r="B37" s="11"/>
      <c r="C37" s="62"/>
      <c r="D37" s="59">
        <v>0</v>
      </c>
      <c r="E37" s="54"/>
      <c r="F37" s="54"/>
      <c r="G37" s="54"/>
    </row>
    <row r="38" spans="1:7" ht="16.5" thickBot="1" x14ac:dyDescent="0.3">
      <c r="A38" s="69" t="s">
        <v>338</v>
      </c>
      <c r="B38" s="11">
        <v>24749.9</v>
      </c>
      <c r="C38" s="62"/>
      <c r="D38" s="59">
        <v>0</v>
      </c>
      <c r="E38" s="54"/>
      <c r="F38" s="54"/>
      <c r="G38" s="54"/>
    </row>
    <row r="39" spans="1:7" ht="16.5" hidden="1" thickBot="1" x14ac:dyDescent="0.3">
      <c r="A39" s="69" t="s">
        <v>322</v>
      </c>
      <c r="B39" s="11"/>
      <c r="C39" s="62"/>
      <c r="D39" s="59">
        <v>0</v>
      </c>
      <c r="E39" s="54"/>
      <c r="F39" s="54"/>
      <c r="G39" s="54"/>
    </row>
    <row r="40" spans="1:7" ht="16.5" hidden="1" thickBot="1" x14ac:dyDescent="0.3">
      <c r="A40" s="69" t="s">
        <v>310</v>
      </c>
      <c r="B40" s="11"/>
      <c r="C40" s="62"/>
      <c r="D40" s="59"/>
      <c r="E40" s="54"/>
      <c r="F40" s="54"/>
      <c r="G40" s="54"/>
    </row>
    <row r="41" spans="1:7" ht="16.5" hidden="1" thickBot="1" x14ac:dyDescent="0.3">
      <c r="A41" s="69" t="s">
        <v>339</v>
      </c>
      <c r="B41" s="11"/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146420.17427763957</v>
      </c>
      <c r="C42" s="56"/>
      <c r="D42" s="62"/>
      <c r="E42" s="67"/>
      <c r="F42" s="67"/>
      <c r="G42" s="67"/>
    </row>
    <row r="43" spans="1:7" ht="15.75" x14ac:dyDescent="0.25">
      <c r="A43" s="69" t="s">
        <v>262</v>
      </c>
      <c r="B43" s="11">
        <v>21320.17</v>
      </c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114655.22000000002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('[1]34тарифы'!D163*B15+141.77)*1.1194*1.0952</f>
        <v>10444.784277639546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30081.21</v>
      </c>
      <c r="C46" s="56"/>
      <c r="D46" s="62"/>
    </row>
    <row r="47" spans="1:7" ht="15.75" x14ac:dyDescent="0.25">
      <c r="A47" s="69" t="s">
        <v>324</v>
      </c>
      <c r="B47" s="162">
        <v>2853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62">
        <v>3464.4</v>
      </c>
      <c r="C48" s="62"/>
      <c r="D48" s="59"/>
      <c r="E48" s="54" t="s">
        <v>269</v>
      </c>
      <c r="F48" s="54"/>
      <c r="G48" s="54"/>
    </row>
    <row r="49" spans="1:5" ht="15.75" hidden="1" x14ac:dyDescent="0.25">
      <c r="A49" s="75" t="s">
        <v>314</v>
      </c>
      <c r="B49" s="162">
        <v>0</v>
      </c>
      <c r="C49" s="62"/>
      <c r="D49" s="59"/>
      <c r="E49" s="54"/>
    </row>
    <row r="50" spans="1:5" ht="15.75" x14ac:dyDescent="0.25">
      <c r="A50" s="75" t="s">
        <v>518</v>
      </c>
      <c r="B50" s="162">
        <v>10763.26</v>
      </c>
      <c r="C50" s="62"/>
      <c r="D50" s="59">
        <v>4190</v>
      </c>
      <c r="E50" s="54"/>
    </row>
    <row r="51" spans="1:5" ht="15.75" x14ac:dyDescent="0.25">
      <c r="A51" s="75" t="s">
        <v>356</v>
      </c>
      <c r="B51" s="11">
        <v>72.58</v>
      </c>
      <c r="C51" s="62"/>
      <c r="D51" s="59"/>
      <c r="E51" s="54"/>
    </row>
    <row r="52" spans="1:5" ht="15.75" hidden="1" x14ac:dyDescent="0.25">
      <c r="A52" s="75" t="s">
        <v>273</v>
      </c>
      <c r="B52" s="11">
        <f>B21*'[1]34тарифы'!D177</f>
        <v>0</v>
      </c>
      <c r="C52" s="62"/>
      <c r="D52" s="59">
        <v>105.14</v>
      </c>
      <c r="E52" s="54"/>
    </row>
    <row r="53" spans="1:5" ht="15.75" hidden="1" x14ac:dyDescent="0.25">
      <c r="A53" s="75" t="s">
        <v>274</v>
      </c>
      <c r="B53" s="11">
        <v>0</v>
      </c>
      <c r="C53" s="62">
        <v>0</v>
      </c>
      <c r="D53" s="59">
        <v>522.99</v>
      </c>
      <c r="E53" s="54"/>
    </row>
    <row r="54" spans="1:5" ht="15.75" hidden="1" x14ac:dyDescent="0.25">
      <c r="A54" s="75" t="s">
        <v>275</v>
      </c>
      <c r="B54" s="11">
        <v>0</v>
      </c>
      <c r="C54" s="62">
        <v>0</v>
      </c>
      <c r="D54" s="76">
        <v>695.13</v>
      </c>
      <c r="E54" s="54"/>
    </row>
    <row r="55" spans="1:5" ht="15.75" hidden="1" x14ac:dyDescent="0.25">
      <c r="A55" s="75" t="s">
        <v>276</v>
      </c>
      <c r="B55" s="11">
        <v>0</v>
      </c>
      <c r="C55" s="62"/>
      <c r="D55" s="76"/>
      <c r="E55" s="54"/>
    </row>
    <row r="56" spans="1:5" ht="15.75" hidden="1" x14ac:dyDescent="0.25">
      <c r="A56" s="75" t="s">
        <v>277</v>
      </c>
      <c r="B56" s="11">
        <v>0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312</v>
      </c>
      <c r="B57" s="11">
        <v>0</v>
      </c>
      <c r="C57" s="62">
        <v>0</v>
      </c>
      <c r="D57" s="59">
        <f>2300/1.18</f>
        <v>1949.1525423728815</v>
      </c>
      <c r="E57" s="54"/>
    </row>
    <row r="58" spans="1:5" ht="15.75" hidden="1" x14ac:dyDescent="0.25">
      <c r="A58" s="75" t="s">
        <v>313</v>
      </c>
      <c r="B58" s="11">
        <v>0</v>
      </c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</row>
    <row r="60" spans="1:5" ht="15.75" hidden="1" x14ac:dyDescent="0.25">
      <c r="A60" s="69" t="s">
        <v>279</v>
      </c>
      <c r="B60" s="11">
        <v>0</v>
      </c>
      <c r="C60" s="57"/>
      <c r="D60" s="59"/>
      <c r="E60" s="54"/>
    </row>
    <row r="61" spans="1:5" ht="15.75" hidden="1" x14ac:dyDescent="0.25">
      <c r="A61" s="69" t="s">
        <v>280</v>
      </c>
      <c r="B61" s="11">
        <v>0</v>
      </c>
      <c r="C61" s="62"/>
      <c r="D61" s="59">
        <v>0</v>
      </c>
      <c r="E61" s="54"/>
    </row>
    <row r="62" spans="1:5" ht="15.75" hidden="1" x14ac:dyDescent="0.25">
      <c r="A62" s="69" t="s">
        <v>336</v>
      </c>
      <c r="B62" s="11">
        <v>0</v>
      </c>
      <c r="C62" s="62"/>
      <c r="D62" s="59">
        <v>0</v>
      </c>
      <c r="E62" s="54"/>
    </row>
    <row r="63" spans="1:5" ht="16.5" thickBot="1" x14ac:dyDescent="0.3">
      <c r="A63" s="69" t="s">
        <v>337</v>
      </c>
      <c r="B63" s="132">
        <v>12927.97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34</v>
      </c>
      <c r="D64" s="62">
        <v>2</v>
      </c>
      <c r="E64" s="54">
        <v>1</v>
      </c>
    </row>
    <row r="65" spans="1:4" s="55" customFormat="1" ht="16.5" hidden="1" thickBot="1" x14ac:dyDescent="0.3">
      <c r="A65" s="69" t="s">
        <v>284</v>
      </c>
      <c r="B65" s="132">
        <v>0</v>
      </c>
      <c r="C65" s="80">
        <v>36</v>
      </c>
      <c r="D65" s="73">
        <f>650/1.18</f>
        <v>550.84745762711873</v>
      </c>
    </row>
    <row r="66" spans="1:4" s="55" customFormat="1" ht="16.5" thickBot="1" x14ac:dyDescent="0.3">
      <c r="A66" s="175" t="s">
        <v>285</v>
      </c>
      <c r="B66" s="121">
        <f>SUM(B67:B74)</f>
        <v>133077.11885268855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50793.72*1.1194*1.0952</f>
        <v>62271.418431993596</v>
      </c>
      <c r="C68" s="56"/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'[1]34тарифы'!D164*B13*1.1194*1.0952</f>
        <v>1952.3779806277619</v>
      </c>
      <c r="C70" s="60"/>
      <c r="D70" s="73"/>
    </row>
    <row r="71" spans="1:4" ht="15.75" x14ac:dyDescent="0.25">
      <c r="A71" s="74" t="s">
        <v>290</v>
      </c>
      <c r="B71" s="11">
        <f>5.06*B15</f>
        <v>7990.2459999999992</v>
      </c>
      <c r="C71" s="81"/>
      <c r="D71" s="60"/>
    </row>
    <row r="72" spans="1:4" ht="15.75" x14ac:dyDescent="0.25">
      <c r="A72" s="74" t="s">
        <v>291</v>
      </c>
      <c r="B72" s="11">
        <f>17.68*B15</f>
        <v>27918.487999999998</v>
      </c>
      <c r="C72" s="73"/>
      <c r="D72" s="60"/>
    </row>
    <row r="73" spans="1:4" ht="15.75" x14ac:dyDescent="0.25">
      <c r="A73" s="25" t="s">
        <v>292</v>
      </c>
      <c r="B73" s="11">
        <f>2736*1.04*1.1194*1.0952</f>
        <v>3488.4151990271998</v>
      </c>
      <c r="C73" s="73"/>
      <c r="D73" s="60"/>
    </row>
    <row r="74" spans="1:4" ht="15.75" x14ac:dyDescent="0.25">
      <c r="A74" s="74" t="s">
        <v>293</v>
      </c>
      <c r="B74" s="11">
        <f>23107*1.04*1.1194*1.095</f>
        <v>29456.173241040004</v>
      </c>
      <c r="C74" s="73"/>
      <c r="D74" s="60"/>
    </row>
    <row r="75" spans="1:4" ht="47.25" x14ac:dyDescent="0.25">
      <c r="A75" s="213" t="s">
        <v>326</v>
      </c>
      <c r="B75" s="121">
        <f>SUM(B76:B76)</f>
        <v>54895.75943085811</v>
      </c>
      <c r="C75" s="73"/>
      <c r="D75" s="60"/>
    </row>
    <row r="76" spans="1:4" ht="15.75" x14ac:dyDescent="0.25">
      <c r="A76" s="74" t="s">
        <v>295</v>
      </c>
      <c r="B76" s="11">
        <f>43055.31*1.04*1.1194*1.0952</f>
        <v>54895.75943085811</v>
      </c>
      <c r="C76" s="73"/>
      <c r="D76" s="60"/>
    </row>
    <row r="77" spans="1:4" s="55" customFormat="1" ht="15.75" x14ac:dyDescent="0.25">
      <c r="A77" s="175" t="s">
        <v>296</v>
      </c>
      <c r="B77" s="121">
        <f>B78+B79+B80+B81</f>
        <v>59084.550668107411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'[1]34тарифы'!D170*B15*1.1194*1.0952</f>
        <v>41715.567747862442</v>
      </c>
      <c r="C78" s="63"/>
      <c r="D78" s="60"/>
    </row>
    <row r="79" spans="1:4" ht="16.5" thickBot="1" x14ac:dyDescent="0.3">
      <c r="A79" s="35" t="s">
        <v>298</v>
      </c>
      <c r="B79" s="11">
        <f>(B26/1.2)*30%</f>
        <v>7715.6075000000001</v>
      </c>
      <c r="C79" s="65"/>
      <c r="D79" s="73"/>
    </row>
    <row r="80" spans="1:4" ht="15.75" x14ac:dyDescent="0.25">
      <c r="A80" s="83" t="s">
        <v>328</v>
      </c>
      <c r="B80" s="11">
        <f>3019.25+3158.4</f>
        <v>6177.65</v>
      </c>
      <c r="C80" s="81"/>
      <c r="D80" s="60"/>
    </row>
    <row r="81" spans="1:4" ht="15.75" x14ac:dyDescent="0.25">
      <c r="A81" s="83" t="s">
        <v>329</v>
      </c>
      <c r="B81" s="11">
        <f>'[1]34тарифы'!D173*B13*1.1194*1.0952</f>
        <v>3475.7254202449694</v>
      </c>
      <c r="C81" s="73"/>
      <c r="D81" s="60"/>
    </row>
    <row r="82" spans="1:4" ht="15.75" x14ac:dyDescent="0.25">
      <c r="A82" s="214" t="s">
        <v>301</v>
      </c>
      <c r="B82" s="14">
        <f>B32+B42+B46+B66+B75+B77</f>
        <v>522077.87322929362</v>
      </c>
      <c r="C82" s="73"/>
      <c r="D82" s="60"/>
    </row>
    <row r="83" spans="1:4" ht="15.75" x14ac:dyDescent="0.25">
      <c r="A83" s="215" t="s">
        <v>302</v>
      </c>
      <c r="B83" s="11">
        <f>B82*0.03</f>
        <v>15662.336196878809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537740.20942617243</v>
      </c>
      <c r="C84" s="73"/>
      <c r="D84" s="60"/>
    </row>
    <row r="85" spans="1:4" ht="16.5" thickBot="1" x14ac:dyDescent="0.3">
      <c r="A85" s="217" t="s">
        <v>304</v>
      </c>
      <c r="B85" s="142">
        <f>B84*0.2</f>
        <v>107548.04188523449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645288.25131140696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-713718.92131140688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2A000000}">
    <filterColumn colId="1">
      <filters>
        <filter val="1 952,38"/>
        <filter val="10 444,78"/>
        <filter val="10 763,26"/>
        <filter val="107 548,04"/>
        <filter val="114 655,22"/>
        <filter val="12 927,97"/>
        <filter val="133 077,12"/>
        <filter val="146 420,17"/>
        <filter val="15 662,34"/>
        <filter val="2 853,00"/>
        <filter val="21 320,17"/>
        <filter val="21 376,42"/>
        <filter val="24 749,90"/>
        <filter val="27 918,49"/>
        <filter val="29 456,17"/>
        <filter val="3 464,40"/>
        <filter val="3 475,73"/>
        <filter val="3 488,42"/>
        <filter val="30 081,21"/>
        <filter val="41 715,57"/>
        <filter val="43 464,73"/>
        <filter val="522 077,87"/>
        <filter val="537 740,21"/>
        <filter val="54 895,76"/>
        <filter val="59 084,55"/>
        <filter val="6 177,65"/>
        <filter val="62 271,42"/>
        <filter val="645 288,25"/>
        <filter val="7 715,61"/>
        <filter val="7 990,25"/>
        <filter val="-713 718,92"/>
        <filter val="72,58"/>
        <filter val="8 928,01"/>
        <filter val="98 519,06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0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filterMode="1">
    <pageSetUpPr fitToPage="1"/>
  </sheetPr>
  <dimension ref="A1:G95"/>
  <sheetViews>
    <sheetView view="pageBreakPreview" topLeftCell="A76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95.710937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136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92684.89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2019.3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0</v>
      </c>
      <c r="C14" s="60"/>
      <c r="D14" s="59"/>
    </row>
    <row r="15" spans="1:4" ht="15.75" hidden="1" x14ac:dyDescent="0.25">
      <c r="A15" s="58" t="s">
        <v>237</v>
      </c>
      <c r="B15" s="11">
        <f>B13+B14</f>
        <v>2019.3</v>
      </c>
      <c r="C15" s="61"/>
      <c r="D15" s="62"/>
    </row>
    <row r="16" spans="1:4" ht="16.5" hidden="1" thickBot="1" x14ac:dyDescent="0.3">
      <c r="A16" s="58" t="s">
        <v>238</v>
      </c>
      <c r="B16" s="11">
        <f>535.6+1785/3</f>
        <v>1130.5999999999999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641.70000000000005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829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119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448786.6</v>
      </c>
      <c r="C24" s="59"/>
      <c r="D24" s="62"/>
      <c r="E24" s="194">
        <v>16.38</v>
      </c>
      <c r="F24" s="195">
        <v>18.335771999999999</v>
      </c>
      <c r="G24" s="54"/>
    </row>
    <row r="25" spans="1:7" ht="16.5" thickBot="1" x14ac:dyDescent="0.3">
      <c r="A25" s="64" t="s">
        <v>318</v>
      </c>
      <c r="B25" s="14">
        <f>VLOOKUP(A5,мкд!W:Y,3,FALSE)</f>
        <v>431144.76</v>
      </c>
      <c r="C25" s="63"/>
      <c r="D25" s="62"/>
      <c r="E25" s="54"/>
      <c r="F25" s="54"/>
      <c r="G25" s="54"/>
    </row>
    <row r="26" spans="1:7" ht="15.75" hidden="1" x14ac:dyDescent="0.25">
      <c r="A26" s="64" t="s">
        <v>319</v>
      </c>
      <c r="B26" s="14"/>
      <c r="C26" s="57"/>
      <c r="D26" s="59"/>
      <c r="E26" s="54"/>
      <c r="F26" s="54"/>
      <c r="G26" s="54"/>
    </row>
    <row r="27" spans="1:7" ht="16.5" hidden="1" thickBot="1" x14ac:dyDescent="0.3">
      <c r="A27" s="64" t="s">
        <v>248</v>
      </c>
      <c r="B27" s="14">
        <f>B26</f>
        <v>0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7154.31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55829.79</v>
      </c>
      <c r="C32" s="59"/>
      <c r="D32" s="62"/>
      <c r="E32" s="67">
        <f>(B86-B26-B24)/1.2/1.03</f>
        <v>59346.641509087487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v>25654</v>
      </c>
      <c r="C33" s="63"/>
      <c r="D33" s="62">
        <v>23564.33</v>
      </c>
      <c r="E33" s="54"/>
      <c r="F33" s="54"/>
      <c r="G33" s="54"/>
    </row>
    <row r="34" spans="1:7" ht="15.75" hidden="1" x14ac:dyDescent="0.25">
      <c r="A34" s="69" t="s">
        <v>320</v>
      </c>
      <c r="B34" s="11">
        <v>0</v>
      </c>
      <c r="C34" s="57"/>
      <c r="D34" s="59">
        <v>0</v>
      </c>
      <c r="E34" s="54"/>
      <c r="F34" s="54"/>
      <c r="G34" s="54"/>
    </row>
    <row r="35" spans="1:7" ht="15.75" hidden="1" x14ac:dyDescent="0.25">
      <c r="A35" s="69" t="s">
        <v>256</v>
      </c>
      <c r="B35" s="11"/>
      <c r="C35" s="62"/>
      <c r="D35" s="59">
        <v>0</v>
      </c>
      <c r="E35" s="54"/>
      <c r="F35" s="54"/>
      <c r="G35" s="54"/>
    </row>
    <row r="36" spans="1:7" ht="15.75" x14ac:dyDescent="0.25">
      <c r="A36" s="69" t="s">
        <v>255</v>
      </c>
      <c r="B36" s="11">
        <v>2870.11</v>
      </c>
      <c r="C36" s="62" t="s">
        <v>234</v>
      </c>
      <c r="D36" s="59">
        <v>0</v>
      </c>
      <c r="E36" s="54"/>
      <c r="F36" s="54"/>
      <c r="G36" s="54"/>
    </row>
    <row r="37" spans="1:7" ht="15.75" hidden="1" x14ac:dyDescent="0.25">
      <c r="A37" s="69" t="s">
        <v>257</v>
      </c>
      <c r="B37" s="11">
        <v>0</v>
      </c>
      <c r="C37" s="62"/>
      <c r="D37" s="59">
        <v>0</v>
      </c>
      <c r="E37" s="54"/>
      <c r="F37" s="54"/>
      <c r="G37" s="54"/>
    </row>
    <row r="38" spans="1:7" ht="16.5" thickBot="1" x14ac:dyDescent="0.3">
      <c r="A38" s="69" t="s">
        <v>338</v>
      </c>
      <c r="B38" s="11">
        <v>27305.68</v>
      </c>
      <c r="C38" s="62"/>
      <c r="D38" s="59">
        <v>0</v>
      </c>
      <c r="E38" s="54"/>
      <c r="F38" s="54"/>
      <c r="G38" s="54"/>
    </row>
    <row r="39" spans="1:7" ht="32.25" hidden="1" thickBot="1" x14ac:dyDescent="0.3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6.5" hidden="1" thickBot="1" x14ac:dyDescent="0.3">
      <c r="A40" s="69" t="s">
        <v>339</v>
      </c>
      <c r="B40" s="11">
        <v>0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482</v>
      </c>
      <c r="B41" s="11"/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54785.20457207397</v>
      </c>
      <c r="C42" s="56"/>
      <c r="D42" s="62"/>
      <c r="E42" s="67"/>
      <c r="F42" s="67"/>
      <c r="G42" s="67"/>
    </row>
    <row r="43" spans="1:7" ht="15.75" x14ac:dyDescent="0.25">
      <c r="A43" s="69" t="s">
        <v>262</v>
      </c>
      <c r="B43" s="11">
        <v>4896.13</v>
      </c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37740.689999999995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('[1]34тарифы'!D163*B15+139.26)*1.1194</f>
        <v>12148.384572073974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25268.11</v>
      </c>
      <c r="C46" s="56"/>
      <c r="D46" s="62"/>
    </row>
    <row r="47" spans="1:7" ht="15.75" x14ac:dyDescent="0.25">
      <c r="A47" s="69" t="s">
        <v>324</v>
      </c>
      <c r="B47" s="11">
        <v>2695.08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1">
        <v>3272.64</v>
      </c>
      <c r="C48" s="62"/>
      <c r="D48" s="59"/>
      <c r="E48" s="54" t="s">
        <v>269</v>
      </c>
      <c r="F48" s="54"/>
      <c r="G48" s="54"/>
    </row>
    <row r="49" spans="1:5" ht="15.75" hidden="1" x14ac:dyDescent="0.25">
      <c r="A49" s="75" t="s">
        <v>394</v>
      </c>
      <c r="B49" s="11">
        <v>0</v>
      </c>
      <c r="C49" s="62"/>
      <c r="D49" s="59"/>
      <c r="E49" s="54"/>
    </row>
    <row r="50" spans="1:5" ht="15.75" hidden="1" x14ac:dyDescent="0.25">
      <c r="A50" s="75" t="s">
        <v>271</v>
      </c>
      <c r="B50" s="11">
        <v>0</v>
      </c>
      <c r="C50" s="62"/>
      <c r="D50" s="59">
        <v>4190</v>
      </c>
      <c r="E50" s="54"/>
    </row>
    <row r="51" spans="1:5" ht="15.75" hidden="1" x14ac:dyDescent="0.25">
      <c r="A51" s="75" t="s">
        <v>272</v>
      </c>
      <c r="B51" s="11">
        <v>0</v>
      </c>
      <c r="C51" s="62"/>
      <c r="D51" s="59"/>
      <c r="E51" s="54"/>
    </row>
    <row r="52" spans="1:5" ht="15.75" x14ac:dyDescent="0.25">
      <c r="A52" s="75" t="s">
        <v>475</v>
      </c>
      <c r="B52" s="11">
        <v>2585.42</v>
      </c>
      <c r="C52" s="62"/>
      <c r="D52" s="59">
        <v>105.14</v>
      </c>
      <c r="E52" s="54"/>
    </row>
    <row r="53" spans="1:5" ht="15.75" hidden="1" x14ac:dyDescent="0.25">
      <c r="A53" s="75" t="s">
        <v>274</v>
      </c>
      <c r="B53" s="11">
        <v>0</v>
      </c>
      <c r="C53" s="62">
        <v>0</v>
      </c>
      <c r="D53" s="59">
        <v>522.99</v>
      </c>
      <c r="E53" s="54"/>
    </row>
    <row r="54" spans="1:5" ht="15.75" hidden="1" x14ac:dyDescent="0.25">
      <c r="A54" s="75" t="s">
        <v>275</v>
      </c>
      <c r="B54" s="11">
        <v>0</v>
      </c>
      <c r="C54" s="62">
        <v>0</v>
      </c>
      <c r="D54" s="76">
        <v>695.13</v>
      </c>
      <c r="E54" s="54"/>
    </row>
    <row r="55" spans="1:5" ht="15.75" hidden="1" x14ac:dyDescent="0.25">
      <c r="A55" s="75" t="s">
        <v>276</v>
      </c>
      <c r="B55" s="11">
        <v>0</v>
      </c>
      <c r="C55" s="62"/>
      <c r="D55" s="76"/>
      <c r="E55" s="54"/>
    </row>
    <row r="56" spans="1:5" ht="15.75" hidden="1" x14ac:dyDescent="0.25">
      <c r="A56" s="75" t="s">
        <v>277</v>
      </c>
      <c r="B56" s="11">
        <v>0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312</v>
      </c>
      <c r="B57" s="11">
        <v>0</v>
      </c>
      <c r="C57" s="62">
        <v>0</v>
      </c>
      <c r="D57" s="59">
        <f>2300/1.18</f>
        <v>1949.1525423728815</v>
      </c>
      <c r="E57" s="54"/>
    </row>
    <row r="58" spans="1:5" ht="15.75" hidden="1" x14ac:dyDescent="0.25">
      <c r="A58" s="75" t="s">
        <v>313</v>
      </c>
      <c r="B58" s="11">
        <v>0</v>
      </c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</row>
    <row r="60" spans="1:5" ht="15.75" hidden="1" x14ac:dyDescent="0.25">
      <c r="A60" s="69" t="s">
        <v>279</v>
      </c>
      <c r="B60" s="11">
        <v>0</v>
      </c>
      <c r="C60" s="57"/>
      <c r="D60" s="59"/>
      <c r="E60" s="54"/>
    </row>
    <row r="61" spans="1:5" ht="15.75" hidden="1" x14ac:dyDescent="0.25">
      <c r="A61" s="69" t="s">
        <v>280</v>
      </c>
      <c r="B61" s="11">
        <v>0</v>
      </c>
      <c r="C61" s="62"/>
      <c r="D61" s="59">
        <v>0</v>
      </c>
      <c r="E61" s="54"/>
    </row>
    <row r="62" spans="1:5" ht="15.75" hidden="1" x14ac:dyDescent="0.25">
      <c r="A62" s="69" t="s">
        <v>336</v>
      </c>
      <c r="B62" s="11">
        <v>0</v>
      </c>
      <c r="C62" s="62"/>
      <c r="D62" s="59">
        <v>0</v>
      </c>
      <c r="E62" s="54"/>
    </row>
    <row r="63" spans="1:5" ht="16.5" thickBot="1" x14ac:dyDescent="0.3">
      <c r="A63" s="69" t="s">
        <v>337</v>
      </c>
      <c r="B63" s="132">
        <v>16714.97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48</v>
      </c>
      <c r="D64" s="62">
        <v>2</v>
      </c>
      <c r="E64" s="54">
        <v>1</v>
      </c>
    </row>
    <row r="65" spans="1:4" s="55" customFormat="1" ht="16.5" hidden="1" thickBot="1" x14ac:dyDescent="0.3">
      <c r="A65" s="69" t="s">
        <v>284</v>
      </c>
      <c r="B65" s="132">
        <v>0</v>
      </c>
      <c r="C65" s="80">
        <v>48</v>
      </c>
      <c r="D65" s="73">
        <f>650/1.18</f>
        <v>550.84745762711873</v>
      </c>
    </row>
    <row r="66" spans="1:4" s="55" customFormat="1" ht="16.5" thickBot="1" x14ac:dyDescent="0.3">
      <c r="A66" s="175" t="s">
        <v>285</v>
      </c>
      <c r="B66" s="121">
        <f>SUM(B67:B74)</f>
        <v>142957.09791814399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40923*1.04*1.1194*1.0952</f>
        <v>52177.052335449596</v>
      </c>
      <c r="C68" s="56">
        <f>46*B16</f>
        <v>52007.6</v>
      </c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2726.0550000000003</v>
      </c>
      <c r="C70" s="60"/>
      <c r="D70" s="73"/>
    </row>
    <row r="71" spans="1:4" ht="15.75" x14ac:dyDescent="0.25">
      <c r="A71" s="74" t="s">
        <v>290</v>
      </c>
      <c r="B71" s="11">
        <f>5.06*B15</f>
        <v>10217.657999999999</v>
      </c>
      <c r="C71" s="81"/>
      <c r="D71" s="60"/>
    </row>
    <row r="72" spans="1:4" ht="15.75" x14ac:dyDescent="0.25">
      <c r="A72" s="74" t="s">
        <v>291</v>
      </c>
      <c r="B72" s="11">
        <f>17.68*B15</f>
        <v>35701.224000000002</v>
      </c>
      <c r="C72" s="73"/>
      <c r="D72" s="60"/>
    </row>
    <row r="73" spans="1:4" ht="15.75" x14ac:dyDescent="0.25">
      <c r="A73" s="25" t="s">
        <v>292</v>
      </c>
      <c r="B73" s="11">
        <f>3499*1.04*1.1194*1.0952</f>
        <v>4461.2444376447993</v>
      </c>
      <c r="C73" s="73"/>
      <c r="D73" s="60"/>
    </row>
    <row r="74" spans="1:4" ht="15.75" x14ac:dyDescent="0.25">
      <c r="A74" s="74" t="s">
        <v>293</v>
      </c>
      <c r="B74" s="11">
        <f>29548*1.04*1.1194*1.0952</f>
        <v>37673.8641450496</v>
      </c>
      <c r="C74" s="73"/>
      <c r="D74" s="60"/>
    </row>
    <row r="75" spans="1:4" ht="63" x14ac:dyDescent="0.25">
      <c r="A75" s="213" t="s">
        <v>326</v>
      </c>
      <c r="B75" s="121">
        <f>SUM(B76:B76)</f>
        <v>75223.496161936098</v>
      </c>
      <c r="C75" s="73"/>
      <c r="D75" s="60"/>
    </row>
    <row r="76" spans="1:4" ht="15.75" x14ac:dyDescent="0.25">
      <c r="A76" s="74" t="s">
        <v>295</v>
      </c>
      <c r="B76" s="11">
        <f>'[1]34ОЭР'!D162*1.1194*1.0952</f>
        <v>75223.496161936098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68378.897549490051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'[1]34тарифы'!D170*B15*1.1194*1.0952</f>
        <v>53344.465805369284</v>
      </c>
      <c r="C78" s="63"/>
      <c r="D78" s="60"/>
    </row>
    <row r="79" spans="1:4" ht="16.5" hidden="1" thickBot="1" x14ac:dyDescent="0.3">
      <c r="A79" s="35" t="s">
        <v>298</v>
      </c>
      <c r="B79" s="11">
        <f>(B26/1.2)*30%</f>
        <v>0</v>
      </c>
      <c r="C79" s="65"/>
      <c r="D79" s="73"/>
    </row>
    <row r="80" spans="1:4" ht="15.75" x14ac:dyDescent="0.25">
      <c r="A80" s="83" t="s">
        <v>328</v>
      </c>
      <c r="B80" s="11">
        <f>4617.5+5936.12</f>
        <v>10553.619999999999</v>
      </c>
      <c r="C80" s="81"/>
      <c r="D80" s="60"/>
    </row>
    <row r="81" spans="1:4" ht="15.75" x14ac:dyDescent="0.25">
      <c r="A81" s="83" t="s">
        <v>329</v>
      </c>
      <c r="B81" s="11">
        <f>'[1]34тарифы'!D173*B13*1.1194*1.01</f>
        <v>4480.8117441207778</v>
      </c>
      <c r="C81" s="73"/>
      <c r="D81" s="60"/>
    </row>
    <row r="82" spans="1:4" ht="15.75" x14ac:dyDescent="0.25">
      <c r="A82" s="214" t="s">
        <v>301</v>
      </c>
      <c r="B82" s="14">
        <f>B32+B42+B46+B66+B75+B77</f>
        <v>422442.5962016441</v>
      </c>
      <c r="C82" s="73"/>
      <c r="D82" s="60"/>
    </row>
    <row r="83" spans="1:4" ht="15.75" x14ac:dyDescent="0.25">
      <c r="A83" s="215" t="s">
        <v>302</v>
      </c>
      <c r="B83" s="11">
        <f>B82*0.03</f>
        <v>12673.277886049324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435115.8740876934</v>
      </c>
      <c r="C84" s="73"/>
      <c r="D84" s="60"/>
    </row>
    <row r="85" spans="1:4" ht="16.5" thickBot="1" x14ac:dyDescent="0.3">
      <c r="A85" s="217" t="s">
        <v>304</v>
      </c>
      <c r="B85" s="142">
        <f>B84*0.2</f>
        <v>87023.174817538689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522139.04890523211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26486.75109476794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2B000000}">
    <filterColumn colId="1">
      <filters>
        <filter val="10 217,66"/>
        <filter val="10 553,62"/>
        <filter val="12 148,38"/>
        <filter val="12 673,28"/>
        <filter val="142 957,10"/>
        <filter val="16 714,97"/>
        <filter val="2 585,42"/>
        <filter val="2 695,08"/>
        <filter val="2 726,06"/>
        <filter val="2 870,11"/>
        <filter val="25 268,11"/>
        <filter val="25 654,00"/>
        <filter val="26 486,75"/>
        <filter val="27 305,68"/>
        <filter val="3 272,64"/>
        <filter val="35 701,22"/>
        <filter val="37 673,86"/>
        <filter val="37 740,69"/>
        <filter val="4 461,24"/>
        <filter val="4 480,81"/>
        <filter val="4 896,13"/>
        <filter val="422 442,60"/>
        <filter val="435 115,87"/>
        <filter val="52 177,05"/>
        <filter val="522 139,05"/>
        <filter val="53 344,47"/>
        <filter val="54 785,20"/>
        <filter val="55 829,79"/>
        <filter val="68 378,90"/>
        <filter val="75 223,50"/>
        <filter val="87 023,17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5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filterMode="1">
    <pageSetUpPr fitToPage="1"/>
  </sheetPr>
  <dimension ref="A1:G95"/>
  <sheetViews>
    <sheetView view="pageBreakPreview" topLeftCell="A70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137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-1393112.62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1467.3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40.299999999999997</v>
      </c>
      <c r="C14" s="60"/>
      <c r="D14" s="59"/>
    </row>
    <row r="15" spans="1:4" ht="15.75" hidden="1" x14ac:dyDescent="0.25">
      <c r="A15" s="58" t="s">
        <v>237</v>
      </c>
      <c r="B15" s="11">
        <f>B13+B14</f>
        <v>1507.6</v>
      </c>
      <c r="C15" s="61"/>
      <c r="D15" s="62"/>
    </row>
    <row r="16" spans="1:4" ht="16.5" hidden="1" thickBot="1" x14ac:dyDescent="0.3">
      <c r="A16" s="58" t="s">
        <v>238</v>
      </c>
      <c r="B16" s="11">
        <f>1165.86+5386.2/3</f>
        <v>2961.2599999999998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677.9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826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68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362488.45999999996</v>
      </c>
      <c r="C24" s="59"/>
      <c r="D24" s="62"/>
      <c r="E24" s="194">
        <v>18.149999999999999</v>
      </c>
      <c r="F24" s="195">
        <v>20.317109999999996</v>
      </c>
      <c r="G24" s="54"/>
    </row>
    <row r="25" spans="1:7" ht="16.5" thickBot="1" x14ac:dyDescent="0.3">
      <c r="A25" s="64" t="s">
        <v>318</v>
      </c>
      <c r="B25" s="14">
        <f>VLOOKUP(A5,мкд!W:Y,3,FALSE)</f>
        <v>363640.78</v>
      </c>
      <c r="C25" s="63"/>
      <c r="D25" s="62"/>
      <c r="E25" s="54"/>
      <c r="F25" s="54"/>
      <c r="G25" s="54"/>
    </row>
    <row r="26" spans="1:7" ht="16.5" thickBot="1" x14ac:dyDescent="0.3">
      <c r="A26" s="64" t="s">
        <v>348</v>
      </c>
      <c r="B26" s="14">
        <v>9887.61</v>
      </c>
      <c r="C26" s="57"/>
      <c r="D26" s="59"/>
      <c r="E26" s="54"/>
      <c r="F26" s="54"/>
      <c r="G26" s="54"/>
    </row>
    <row r="27" spans="1:7" ht="16.5" hidden="1" thickBot="1" x14ac:dyDescent="0.3">
      <c r="A27" s="64" t="s">
        <v>349</v>
      </c>
      <c r="B27" s="14">
        <v>0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7459.44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107876.51999999999</v>
      </c>
      <c r="C32" s="59"/>
      <c r="D32" s="62"/>
      <c r="E32" s="67">
        <f>(B86-B26-B24)/1.2/1.03</f>
        <v>290852.68646327767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v>29904.550000000003</v>
      </c>
      <c r="C33" s="63"/>
      <c r="D33" s="62">
        <v>17645.169999999998</v>
      </c>
      <c r="E33" s="54"/>
      <c r="F33" s="54"/>
      <c r="G33" s="54"/>
    </row>
    <row r="34" spans="1:7" ht="15.75" x14ac:dyDescent="0.25">
      <c r="A34" s="69" t="s">
        <v>257</v>
      </c>
      <c r="B34" s="11">
        <v>24528.18</v>
      </c>
      <c r="C34" s="57"/>
      <c r="D34" s="59">
        <v>0</v>
      </c>
      <c r="E34" s="54"/>
      <c r="F34" s="54"/>
      <c r="G34" s="54"/>
    </row>
    <row r="35" spans="1:7" ht="15.75" hidden="1" x14ac:dyDescent="0.25">
      <c r="A35" s="69" t="s">
        <v>256</v>
      </c>
      <c r="B35" s="11"/>
      <c r="C35" s="62"/>
      <c r="D35" s="59">
        <v>0</v>
      </c>
      <c r="E35" s="54"/>
      <c r="F35" s="54"/>
      <c r="G35" s="54"/>
    </row>
    <row r="36" spans="1:7" ht="15.75" x14ac:dyDescent="0.25">
      <c r="A36" s="69" t="s">
        <v>255</v>
      </c>
      <c r="B36" s="11">
        <v>28693.89</v>
      </c>
      <c r="C36" s="62" t="s">
        <v>234</v>
      </c>
      <c r="D36" s="59">
        <v>0</v>
      </c>
      <c r="E36" s="54"/>
      <c r="F36" s="54"/>
      <c r="G36" s="54"/>
    </row>
    <row r="37" spans="1:7" ht="15.75" hidden="1" x14ac:dyDescent="0.25">
      <c r="A37" s="69" t="s">
        <v>257</v>
      </c>
      <c r="B37" s="11"/>
      <c r="C37" s="62"/>
      <c r="D37" s="59">
        <v>0</v>
      </c>
      <c r="E37" s="54"/>
      <c r="F37" s="54"/>
      <c r="G37" s="54"/>
    </row>
    <row r="38" spans="1:7" ht="15.75" hidden="1" x14ac:dyDescent="0.25">
      <c r="A38" s="69" t="s">
        <v>258</v>
      </c>
      <c r="B38" s="11">
        <v>0</v>
      </c>
      <c r="C38" s="62"/>
      <c r="D38" s="59">
        <v>0</v>
      </c>
      <c r="E38" s="54"/>
      <c r="F38" s="54"/>
      <c r="G38" s="54"/>
    </row>
    <row r="39" spans="1:7" ht="15.75" hidden="1" x14ac:dyDescent="0.25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6.5" thickBot="1" x14ac:dyDescent="0.3">
      <c r="A40" s="69" t="s">
        <v>338</v>
      </c>
      <c r="B40" s="11">
        <v>24749.9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255</v>
      </c>
      <c r="B41" s="11"/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81199.454167178221</v>
      </c>
      <c r="C42" s="56"/>
      <c r="D42" s="62"/>
      <c r="E42" s="67"/>
      <c r="F42" s="67"/>
      <c r="G42" s="67"/>
    </row>
    <row r="43" spans="1:7" ht="15.75" x14ac:dyDescent="0.25">
      <c r="A43" s="69" t="s">
        <v>262</v>
      </c>
      <c r="B43" s="11">
        <v>8541.2900000000009</v>
      </c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62764.22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('[1]34тарифы'!D163*B15+71.8)*1.1194*1.0952</f>
        <v>9893.944167178217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37362.31</v>
      </c>
      <c r="C46" s="56"/>
      <c r="D46" s="62"/>
    </row>
    <row r="47" spans="1:7" ht="15.75" x14ac:dyDescent="0.25">
      <c r="A47" s="69" t="s">
        <v>324</v>
      </c>
      <c r="B47" s="162">
        <v>2847.12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62">
        <v>3457.26</v>
      </c>
      <c r="C48" s="62"/>
      <c r="D48" s="59"/>
      <c r="E48" s="54" t="s">
        <v>269</v>
      </c>
      <c r="F48" s="54"/>
      <c r="G48" s="54"/>
    </row>
    <row r="49" spans="1:5" ht="15.75" x14ac:dyDescent="0.25">
      <c r="A49" s="75" t="s">
        <v>281</v>
      </c>
      <c r="B49" s="11">
        <v>150.66</v>
      </c>
      <c r="C49" s="62"/>
      <c r="D49" s="59"/>
      <c r="E49" s="54"/>
    </row>
    <row r="50" spans="1:5" ht="15.75" hidden="1" x14ac:dyDescent="0.25">
      <c r="A50" s="75" t="s">
        <v>271</v>
      </c>
      <c r="B50" s="11">
        <v>0</v>
      </c>
      <c r="C50" s="62"/>
      <c r="D50" s="59">
        <v>4190</v>
      </c>
      <c r="E50" s="54"/>
    </row>
    <row r="51" spans="1:5" ht="15.75" hidden="1" x14ac:dyDescent="0.25">
      <c r="A51" s="75" t="s">
        <v>272</v>
      </c>
      <c r="B51" s="11">
        <v>0</v>
      </c>
      <c r="C51" s="62"/>
      <c r="D51" s="59"/>
      <c r="E51" s="54"/>
    </row>
    <row r="52" spans="1:5" ht="15.75" hidden="1" x14ac:dyDescent="0.25">
      <c r="A52" s="75" t="s">
        <v>273</v>
      </c>
      <c r="B52" s="11">
        <f>B21*'[1]34тарифы'!D177</f>
        <v>0</v>
      </c>
      <c r="C52" s="62"/>
      <c r="D52" s="59">
        <v>105.14</v>
      </c>
      <c r="E52" s="54"/>
    </row>
    <row r="53" spans="1:5" ht="15.75" hidden="1" x14ac:dyDescent="0.25">
      <c r="A53" s="75" t="s">
        <v>274</v>
      </c>
      <c r="B53" s="11">
        <v>0</v>
      </c>
      <c r="C53" s="62">
        <v>0</v>
      </c>
      <c r="D53" s="59">
        <v>522.99</v>
      </c>
      <c r="E53" s="54"/>
    </row>
    <row r="54" spans="1:5" ht="15.75" hidden="1" x14ac:dyDescent="0.25">
      <c r="A54" s="75" t="s">
        <v>275</v>
      </c>
      <c r="B54" s="11">
        <v>0</v>
      </c>
      <c r="C54" s="62">
        <v>0</v>
      </c>
      <c r="D54" s="76">
        <v>695.13</v>
      </c>
      <c r="E54" s="54"/>
    </row>
    <row r="55" spans="1:5" ht="15.75" hidden="1" x14ac:dyDescent="0.25">
      <c r="A55" s="75" t="s">
        <v>276</v>
      </c>
      <c r="B55" s="11">
        <v>0</v>
      </c>
      <c r="C55" s="62"/>
      <c r="D55" s="76"/>
      <c r="E55" s="54"/>
    </row>
    <row r="56" spans="1:5" ht="15.75" hidden="1" x14ac:dyDescent="0.25">
      <c r="A56" s="75" t="s">
        <v>277</v>
      </c>
      <c r="B56" s="11">
        <v>0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312</v>
      </c>
      <c r="B57" s="11">
        <v>0</v>
      </c>
      <c r="C57" s="62">
        <v>0</v>
      </c>
      <c r="D57" s="59">
        <f>2300/1.18</f>
        <v>1949.1525423728815</v>
      </c>
      <c r="E57" s="54"/>
    </row>
    <row r="58" spans="1:5" ht="15.75" x14ac:dyDescent="0.25">
      <c r="A58" s="75" t="s">
        <v>518</v>
      </c>
      <c r="B58" s="162">
        <v>17979.3</v>
      </c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</row>
    <row r="60" spans="1:5" ht="15.75" hidden="1" x14ac:dyDescent="0.25">
      <c r="A60" s="69" t="s">
        <v>279</v>
      </c>
      <c r="B60" s="11">
        <v>0</v>
      </c>
      <c r="C60" s="57"/>
      <c r="D60" s="59"/>
      <c r="E60" s="54"/>
    </row>
    <row r="61" spans="1:5" ht="15.75" hidden="1" x14ac:dyDescent="0.25">
      <c r="A61" s="69" t="s">
        <v>280</v>
      </c>
      <c r="B61" s="11">
        <v>0</v>
      </c>
      <c r="C61" s="62"/>
      <c r="D61" s="59">
        <v>0</v>
      </c>
      <c r="E61" s="54"/>
    </row>
    <row r="62" spans="1:5" ht="15.75" hidden="1" x14ac:dyDescent="0.25">
      <c r="A62" s="69" t="s">
        <v>336</v>
      </c>
      <c r="B62" s="11">
        <v>0</v>
      </c>
      <c r="C62" s="62"/>
      <c r="D62" s="59">
        <v>0</v>
      </c>
      <c r="E62" s="54"/>
    </row>
    <row r="63" spans="1:5" ht="16.5" thickBot="1" x14ac:dyDescent="0.3">
      <c r="A63" s="69" t="s">
        <v>337</v>
      </c>
      <c r="B63" s="132">
        <v>12927.97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35</v>
      </c>
      <c r="D64" s="62">
        <v>2</v>
      </c>
      <c r="E64" s="54">
        <v>1</v>
      </c>
    </row>
    <row r="65" spans="1:4" s="55" customFormat="1" ht="16.5" hidden="1" thickBot="1" x14ac:dyDescent="0.3">
      <c r="A65" s="69" t="s">
        <v>284</v>
      </c>
      <c r="B65" s="132">
        <v>0</v>
      </c>
      <c r="C65" s="80">
        <v>36</v>
      </c>
      <c r="D65" s="73">
        <f>650/1.18</f>
        <v>550.84745762711873</v>
      </c>
    </row>
    <row r="66" spans="1:4" s="55" customFormat="1" ht="16.5" thickBot="1" x14ac:dyDescent="0.3">
      <c r="A66" s="175" t="s">
        <v>285</v>
      </c>
      <c r="B66" s="121">
        <f>SUM(B67:B74)</f>
        <v>204119.01510876158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106935*1.04*1.1194*1.0952</f>
        <v>136342.719045312</v>
      </c>
      <c r="C68" s="56">
        <f>46*B16</f>
        <v>136217.96</v>
      </c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2035.26</v>
      </c>
      <c r="C70" s="60"/>
      <c r="D70" s="73"/>
    </row>
    <row r="71" spans="1:4" ht="15.75" x14ac:dyDescent="0.25">
      <c r="A71" s="74" t="s">
        <v>290</v>
      </c>
      <c r="B71" s="11">
        <f>5.06*B15</f>
        <v>7628.4559999999992</v>
      </c>
      <c r="C71" s="81"/>
      <c r="D71" s="60"/>
    </row>
    <row r="72" spans="1:4" ht="15.75" x14ac:dyDescent="0.25">
      <c r="A72" s="74" t="s">
        <v>291</v>
      </c>
      <c r="B72" s="11">
        <f>17.68*B15</f>
        <v>26654.367999999999</v>
      </c>
      <c r="C72" s="73"/>
      <c r="D72" s="60"/>
    </row>
    <row r="73" spans="1:4" ht="15.75" x14ac:dyDescent="0.25">
      <c r="A73" s="25" t="s">
        <v>292</v>
      </c>
      <c r="B73" s="11">
        <f>2612*1.04*1.1194*1.0952</f>
        <v>3330.3145101823998</v>
      </c>
      <c r="C73" s="73"/>
      <c r="D73" s="60"/>
    </row>
    <row r="74" spans="1:4" ht="15.75" x14ac:dyDescent="0.25">
      <c r="A74" s="74" t="s">
        <v>293</v>
      </c>
      <c r="B74" s="11">
        <f>22061*1.04*1.1194*1.0952</f>
        <v>28127.897553267198</v>
      </c>
      <c r="C74" s="73"/>
      <c r="D74" s="60"/>
    </row>
    <row r="75" spans="1:4" ht="47.25" x14ac:dyDescent="0.25">
      <c r="A75" s="213" t="s">
        <v>326</v>
      </c>
      <c r="B75" s="121">
        <f>SUM(B76:B76)</f>
        <v>109942.4540193408</v>
      </c>
      <c r="C75" s="73"/>
      <c r="D75" s="60"/>
    </row>
    <row r="76" spans="1:4" ht="15.75" x14ac:dyDescent="0.25">
      <c r="A76" s="74" t="s">
        <v>295</v>
      </c>
      <c r="B76" s="11">
        <f>86229*1.04*1.1194*1.0952</f>
        <v>109942.4540193408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51628.070708450039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'[1]34тарифы'!D170*B15*1.1194*1.0952</f>
        <v>39826.730375959356</v>
      </c>
      <c r="C78" s="63"/>
      <c r="D78" s="60"/>
    </row>
    <row r="79" spans="1:4" ht="16.5" thickBot="1" x14ac:dyDescent="0.3">
      <c r="A79" s="35" t="s">
        <v>298</v>
      </c>
      <c r="B79" s="11">
        <f>(B26/1.2)*30%</f>
        <v>2471.9025000000001</v>
      </c>
      <c r="C79" s="65"/>
      <c r="D79" s="73"/>
    </row>
    <row r="80" spans="1:4" ht="15.75" x14ac:dyDescent="0.25">
      <c r="A80" s="83" t="s">
        <v>328</v>
      </c>
      <c r="B80" s="11">
        <f>3108+2965.51</f>
        <v>6073.51</v>
      </c>
      <c r="C80" s="81"/>
      <c r="D80" s="60"/>
    </row>
    <row r="81" spans="1:4" ht="15.75" x14ac:dyDescent="0.25">
      <c r="A81" s="83" t="s">
        <v>329</v>
      </c>
      <c r="B81" s="11">
        <f>'[1]34тарифы'!D173*B13*1.1194*1.01</f>
        <v>3255.9278324906741</v>
      </c>
      <c r="C81" s="73"/>
      <c r="D81" s="60"/>
    </row>
    <row r="82" spans="1:4" ht="15.75" x14ac:dyDescent="0.25">
      <c r="A82" s="214" t="s">
        <v>301</v>
      </c>
      <c r="B82" s="14">
        <f>B32+B42+B46+B66+B75+B77</f>
        <v>592127.82400373067</v>
      </c>
      <c r="C82" s="73"/>
      <c r="D82" s="60"/>
    </row>
    <row r="83" spans="1:4" ht="15.75" x14ac:dyDescent="0.25">
      <c r="A83" s="215" t="s">
        <v>302</v>
      </c>
      <c r="B83" s="11">
        <f>B82*0.03</f>
        <v>17763.834720111918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609891.65872384259</v>
      </c>
      <c r="C84" s="73"/>
      <c r="D84" s="60"/>
    </row>
    <row r="85" spans="1:4" ht="16.5" thickBot="1" x14ac:dyDescent="0.3">
      <c r="A85" s="217" t="s">
        <v>304</v>
      </c>
      <c r="B85" s="142">
        <f>B84*0.2</f>
        <v>121978.33174476853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731869.99046861113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-1745147.1004686113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2C000000}">
    <filterColumn colId="1">
      <filters>
        <filter val="-1 745 147,10"/>
        <filter val="107 876,52"/>
        <filter val="109 942,45"/>
        <filter val="12 927,97"/>
        <filter val="121 978,33"/>
        <filter val="136 342,72"/>
        <filter val="150,66"/>
        <filter val="17 763,83"/>
        <filter val="17 979,30"/>
        <filter val="2 035,26"/>
        <filter val="2 471,90"/>
        <filter val="2 847,12"/>
        <filter val="204 119,02"/>
        <filter val="24 528,18"/>
        <filter val="24 749,90"/>
        <filter val="26 654,37"/>
        <filter val="28 127,90"/>
        <filter val="28 693,89"/>
        <filter val="29 904,55"/>
        <filter val="3 255,93"/>
        <filter val="3 330,31"/>
        <filter val="3 457,26"/>
        <filter val="37 362,31"/>
        <filter val="39 826,73"/>
        <filter val="51 628,07"/>
        <filter val="592 127,82"/>
        <filter val="6 073,51"/>
        <filter val="609 891,66"/>
        <filter val="62 764,22"/>
        <filter val="7 628,46"/>
        <filter val="731 869,99"/>
        <filter val="8 541,29"/>
        <filter val="81 199,45"/>
        <filter val="9 893,94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filterMode="1">
    <pageSetUpPr fitToPage="1"/>
  </sheetPr>
  <dimension ref="A1:G95"/>
  <sheetViews>
    <sheetView view="pageBreakPreview" topLeftCell="A86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138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-741564.71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1533.1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0</v>
      </c>
      <c r="C14" s="60"/>
      <c r="D14" s="59"/>
    </row>
    <row r="15" spans="1:4" ht="15.75" hidden="1" x14ac:dyDescent="0.25">
      <c r="A15" s="58" t="s">
        <v>237</v>
      </c>
      <c r="B15" s="11">
        <f>B13+B14</f>
        <v>1533.1</v>
      </c>
      <c r="C15" s="61"/>
      <c r="D15" s="62"/>
    </row>
    <row r="16" spans="1:4" ht="16.5" hidden="1" thickBot="1" x14ac:dyDescent="0.3">
      <c r="A16" s="58" t="s">
        <v>238</v>
      </c>
      <c r="B16" s="11">
        <f>866.15+1096.5/3</f>
        <v>1231.6500000000001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542.6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698.5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95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248892.5</v>
      </c>
      <c r="C24" s="59"/>
      <c r="D24" s="62"/>
      <c r="E24" s="194">
        <v>11.94</v>
      </c>
      <c r="F24" s="195">
        <v>13.365635999999999</v>
      </c>
      <c r="G24" s="54"/>
    </row>
    <row r="25" spans="1:7" ht="16.5" thickBot="1" x14ac:dyDescent="0.3">
      <c r="A25" s="64" t="s">
        <v>318</v>
      </c>
      <c r="B25" s="14">
        <f>VLOOKUP(A5,мкд!W:Y,3,FALSE)</f>
        <v>253349.59</v>
      </c>
      <c r="C25" s="63"/>
      <c r="D25" s="62"/>
      <c r="E25" s="54"/>
      <c r="F25" s="54"/>
      <c r="G25" s="54"/>
    </row>
    <row r="26" spans="1:7" ht="15.75" hidden="1" x14ac:dyDescent="0.25">
      <c r="A26" s="64" t="s">
        <v>319</v>
      </c>
      <c r="B26" s="14"/>
      <c r="C26" s="57"/>
      <c r="D26" s="59"/>
      <c r="E26" s="54"/>
      <c r="F26" s="54"/>
      <c r="G26" s="54"/>
    </row>
    <row r="27" spans="1:7" ht="16.5" hidden="1" thickBot="1" x14ac:dyDescent="0.3">
      <c r="A27" s="64" t="s">
        <v>248</v>
      </c>
      <c r="B27" s="14">
        <f>B26</f>
        <v>0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5781.36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46075.17</v>
      </c>
      <c r="C32" s="59"/>
      <c r="D32" s="62"/>
      <c r="E32" s="67">
        <f>(B86-B26-B24)/1.2/1.03</f>
        <v>128832.0297852121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v>7500</v>
      </c>
      <c r="C33" s="63"/>
      <c r="D33" s="62">
        <v>10572.04</v>
      </c>
      <c r="E33" s="54"/>
      <c r="F33" s="54"/>
      <c r="G33" s="54"/>
    </row>
    <row r="34" spans="1:7" ht="15.75" x14ac:dyDescent="0.25">
      <c r="A34" s="69" t="s">
        <v>320</v>
      </c>
      <c r="B34" s="11">
        <v>2427.4899999999998</v>
      </c>
      <c r="C34" s="57"/>
      <c r="D34" s="59">
        <v>0</v>
      </c>
      <c r="E34" s="54"/>
      <c r="F34" s="54"/>
      <c r="G34" s="54"/>
    </row>
    <row r="35" spans="1:7" ht="15.75" hidden="1" x14ac:dyDescent="0.25">
      <c r="A35" s="69" t="s">
        <v>256</v>
      </c>
      <c r="B35" s="11"/>
      <c r="C35" s="62"/>
      <c r="D35" s="59">
        <v>0</v>
      </c>
      <c r="E35" s="54"/>
      <c r="F35" s="54"/>
      <c r="G35" s="54"/>
    </row>
    <row r="36" spans="1:7" ht="15.75" hidden="1" x14ac:dyDescent="0.25">
      <c r="A36" s="69" t="s">
        <v>255</v>
      </c>
      <c r="B36" s="11">
        <v>0</v>
      </c>
      <c r="C36" s="62" t="s">
        <v>234</v>
      </c>
      <c r="D36" s="59">
        <v>0</v>
      </c>
      <c r="E36" s="54"/>
      <c r="F36" s="54"/>
      <c r="G36" s="54"/>
    </row>
    <row r="37" spans="1:7" ht="15.75" x14ac:dyDescent="0.25">
      <c r="A37" s="69" t="s">
        <v>257</v>
      </c>
      <c r="B37" s="11">
        <v>11397.78</v>
      </c>
      <c r="C37" s="62"/>
      <c r="D37" s="59">
        <v>0</v>
      </c>
      <c r="E37" s="54"/>
      <c r="F37" s="54"/>
      <c r="G37" s="54"/>
    </row>
    <row r="38" spans="1:7" ht="15.75" hidden="1" x14ac:dyDescent="0.25">
      <c r="A38" s="69" t="s">
        <v>258</v>
      </c>
      <c r="B38" s="11">
        <v>0</v>
      </c>
      <c r="C38" s="62"/>
      <c r="D38" s="59">
        <v>0</v>
      </c>
      <c r="E38" s="54"/>
      <c r="F38" s="54"/>
      <c r="G38" s="54"/>
    </row>
    <row r="39" spans="1:7" ht="15.75" hidden="1" x14ac:dyDescent="0.25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6.5" thickBot="1" x14ac:dyDescent="0.3">
      <c r="A40" s="69" t="s">
        <v>310</v>
      </c>
      <c r="B40" s="11">
        <v>24749.9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255</v>
      </c>
      <c r="B41" s="11"/>
      <c r="C41" s="60"/>
      <c r="D41" s="59">
        <v>0</v>
      </c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20082.268907895665</v>
      </c>
      <c r="C42" s="56"/>
      <c r="D42" s="62"/>
      <c r="E42" s="67"/>
      <c r="F42" s="67"/>
      <c r="G42" s="67"/>
    </row>
    <row r="43" spans="1:7" ht="15.75" x14ac:dyDescent="0.25">
      <c r="A43" s="69" t="s">
        <v>262</v>
      </c>
      <c r="B43" s="11">
        <v>8541.2900000000009</v>
      </c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1493.9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('[1]34тарифы'!D163*B15+61.42)*1.1194*1.0952</f>
        <v>10047.078907895664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29997.1</v>
      </c>
      <c r="C46" s="56"/>
      <c r="D46" s="62"/>
    </row>
    <row r="47" spans="1:7" ht="15.75" x14ac:dyDescent="0.25">
      <c r="A47" s="69" t="s">
        <v>324</v>
      </c>
      <c r="B47" s="11">
        <v>2278.92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1">
        <v>2767.26</v>
      </c>
      <c r="C48" s="62"/>
      <c r="D48" s="59"/>
      <c r="E48" s="54" t="s">
        <v>269</v>
      </c>
      <c r="F48" s="54"/>
      <c r="G48" s="54"/>
    </row>
    <row r="49" spans="1:5" ht="15.75" x14ac:dyDescent="0.25">
      <c r="A49" s="75" t="s">
        <v>281</v>
      </c>
      <c r="B49" s="11">
        <v>69.540000000000006</v>
      </c>
      <c r="C49" s="62"/>
      <c r="D49" s="59"/>
      <c r="E49" s="54"/>
    </row>
    <row r="50" spans="1:5" ht="15.75" hidden="1" x14ac:dyDescent="0.25">
      <c r="A50" s="75" t="s">
        <v>271</v>
      </c>
      <c r="B50" s="11">
        <v>0</v>
      </c>
      <c r="C50" s="62"/>
      <c r="D50" s="59">
        <v>4190</v>
      </c>
      <c r="E50" s="54"/>
    </row>
    <row r="51" spans="1:5" ht="15.75" hidden="1" x14ac:dyDescent="0.25">
      <c r="A51" s="75" t="s">
        <v>272</v>
      </c>
      <c r="B51" s="11">
        <v>0</v>
      </c>
      <c r="C51" s="62"/>
      <c r="D51" s="59"/>
      <c r="E51" s="54"/>
    </row>
    <row r="52" spans="1:5" ht="15.75" hidden="1" x14ac:dyDescent="0.25">
      <c r="A52" s="75" t="s">
        <v>273</v>
      </c>
      <c r="B52" s="11">
        <f>B21*'[1]34тарифы'!D177</f>
        <v>0</v>
      </c>
      <c r="C52" s="62"/>
      <c r="D52" s="59">
        <v>105.14</v>
      </c>
      <c r="E52" s="54"/>
    </row>
    <row r="53" spans="1:5" ht="15.75" hidden="1" x14ac:dyDescent="0.25">
      <c r="A53" s="75" t="s">
        <v>274</v>
      </c>
      <c r="B53" s="11">
        <v>0</v>
      </c>
      <c r="C53" s="62">
        <v>0</v>
      </c>
      <c r="D53" s="59">
        <v>522.99</v>
      </c>
      <c r="E53" s="54"/>
    </row>
    <row r="54" spans="1:5" ht="15.75" hidden="1" x14ac:dyDescent="0.25">
      <c r="A54" s="75" t="s">
        <v>275</v>
      </c>
      <c r="B54" s="11">
        <v>0</v>
      </c>
      <c r="C54" s="62">
        <v>0</v>
      </c>
      <c r="D54" s="76">
        <v>695.13</v>
      </c>
      <c r="E54" s="54"/>
    </row>
    <row r="55" spans="1:5" ht="15.75" hidden="1" x14ac:dyDescent="0.25">
      <c r="A55" s="75" t="s">
        <v>276</v>
      </c>
      <c r="B55" s="11">
        <v>0</v>
      </c>
      <c r="C55" s="62"/>
      <c r="D55" s="76"/>
      <c r="E55" s="54"/>
    </row>
    <row r="56" spans="1:5" ht="15.75" hidden="1" x14ac:dyDescent="0.25">
      <c r="A56" s="75" t="s">
        <v>277</v>
      </c>
      <c r="B56" s="11">
        <v>0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312</v>
      </c>
      <c r="B57" s="11">
        <v>0</v>
      </c>
      <c r="C57" s="62">
        <v>0</v>
      </c>
      <c r="D57" s="59">
        <f>2300/1.18</f>
        <v>1949.1525423728815</v>
      </c>
      <c r="E57" s="54"/>
    </row>
    <row r="58" spans="1:5" ht="15.75" x14ac:dyDescent="0.25">
      <c r="A58" s="75" t="s">
        <v>518</v>
      </c>
      <c r="B58" s="11">
        <v>10619.69</v>
      </c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</row>
    <row r="60" spans="1:5" ht="15.75" hidden="1" x14ac:dyDescent="0.25">
      <c r="A60" s="69" t="s">
        <v>279</v>
      </c>
      <c r="B60" s="11">
        <v>0</v>
      </c>
      <c r="C60" s="57"/>
      <c r="D60" s="59"/>
      <c r="E60" s="54"/>
    </row>
    <row r="61" spans="1:5" ht="15.75" hidden="1" x14ac:dyDescent="0.25">
      <c r="A61" s="69" t="s">
        <v>280</v>
      </c>
      <c r="B61" s="11">
        <v>0</v>
      </c>
      <c r="C61" s="62"/>
      <c r="D61" s="59">
        <v>0</v>
      </c>
      <c r="E61" s="54"/>
    </row>
    <row r="62" spans="1:5" ht="15.75" hidden="1" x14ac:dyDescent="0.25">
      <c r="A62" s="69" t="s">
        <v>336</v>
      </c>
      <c r="B62" s="11">
        <v>0</v>
      </c>
      <c r="C62" s="62"/>
      <c r="D62" s="59">
        <v>0</v>
      </c>
      <c r="E62" s="54"/>
    </row>
    <row r="63" spans="1:5" ht="16.5" thickBot="1" x14ac:dyDescent="0.3">
      <c r="A63" s="69" t="s">
        <v>337</v>
      </c>
      <c r="B63" s="132">
        <v>14261.69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36</v>
      </c>
      <c r="D64" s="62">
        <v>2</v>
      </c>
      <c r="E64" s="54">
        <v>1</v>
      </c>
    </row>
    <row r="65" spans="1:4" s="55" customFormat="1" ht="16.5" hidden="1" thickBot="1" x14ac:dyDescent="0.3">
      <c r="A65" s="69" t="s">
        <v>284</v>
      </c>
      <c r="B65" s="132">
        <v>0</v>
      </c>
      <c r="C65" s="80">
        <v>36</v>
      </c>
      <c r="D65" s="73">
        <f>650/1.18</f>
        <v>550.84745762711873</v>
      </c>
    </row>
    <row r="66" spans="1:4" s="55" customFormat="1" ht="16.5" thickBot="1" x14ac:dyDescent="0.3">
      <c r="A66" s="175" t="s">
        <v>285</v>
      </c>
      <c r="B66" s="121">
        <f>SUM(B67:B74)</f>
        <v>126143.24269178881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44879*1.04*1.1194*1.0952</f>
        <v>57220.974311820799</v>
      </c>
      <c r="C68" s="56">
        <f>46*B16</f>
        <v>56655.9</v>
      </c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2069.6849999999999</v>
      </c>
      <c r="C70" s="60"/>
      <c r="D70" s="73"/>
    </row>
    <row r="71" spans="1:4" ht="15.75" x14ac:dyDescent="0.25">
      <c r="A71" s="74" t="s">
        <v>290</v>
      </c>
      <c r="B71" s="11">
        <f>5.06*B15</f>
        <v>7757.485999999999</v>
      </c>
      <c r="C71" s="81"/>
      <c r="D71" s="60"/>
    </row>
    <row r="72" spans="1:4" ht="15.75" x14ac:dyDescent="0.25">
      <c r="A72" s="74" t="s">
        <v>291</v>
      </c>
      <c r="B72" s="11">
        <f>17.68*B15</f>
        <v>27105.207999999999</v>
      </c>
      <c r="C72" s="73"/>
      <c r="D72" s="60"/>
    </row>
    <row r="73" spans="1:4" ht="15.75" x14ac:dyDescent="0.25">
      <c r="A73" s="25" t="s">
        <v>292</v>
      </c>
      <c r="B73" s="11">
        <f>2656*1.04*1.1194*1.0952</f>
        <v>3386.4147546111999</v>
      </c>
      <c r="C73" s="73"/>
      <c r="D73" s="60"/>
    </row>
    <row r="74" spans="1:4" ht="15.75" x14ac:dyDescent="0.25">
      <c r="A74" s="74" t="s">
        <v>293</v>
      </c>
      <c r="B74" s="11">
        <f>22434*1.04*1.1194*1.0952</f>
        <v>28603.474625356797</v>
      </c>
      <c r="C74" s="73"/>
      <c r="D74" s="60"/>
    </row>
    <row r="75" spans="1:4" ht="47.25" x14ac:dyDescent="0.25">
      <c r="A75" s="213" t="s">
        <v>326</v>
      </c>
      <c r="B75" s="121">
        <f>SUM(B76:B76)</f>
        <v>57111.445533533515</v>
      </c>
      <c r="C75" s="73"/>
      <c r="D75" s="60"/>
    </row>
    <row r="76" spans="1:4" ht="15.75" x14ac:dyDescent="0.25">
      <c r="A76" s="74" t="s">
        <v>295</v>
      </c>
      <c r="B76" s="11">
        <f>'[1]34ОЭР'!D164*1.1194*1.0952</f>
        <v>57111.445533533515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50792.13922157343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'[1]34тарифы'!D170*B15*1.1194*1.0952</f>
        <v>40500.371676428294</v>
      </c>
      <c r="C78" s="63"/>
      <c r="D78" s="60"/>
    </row>
    <row r="79" spans="1:4" ht="16.5" hidden="1" thickBot="1" x14ac:dyDescent="0.3">
      <c r="A79" s="35" t="s">
        <v>298</v>
      </c>
      <c r="B79" s="11">
        <f>(B26/1.2)*30%</f>
        <v>0</v>
      </c>
      <c r="C79" s="65"/>
      <c r="D79" s="73"/>
    </row>
    <row r="80" spans="1:4" ht="15.75" x14ac:dyDescent="0.25">
      <c r="A80" s="83" t="s">
        <v>328</v>
      </c>
      <c r="B80" s="11">
        <f>3196.75+3693.08</f>
        <v>6889.83</v>
      </c>
      <c r="C80" s="81"/>
      <c r="D80" s="60"/>
    </row>
    <row r="81" spans="1:4" ht="15.75" x14ac:dyDescent="0.25">
      <c r="A81" s="83" t="s">
        <v>329</v>
      </c>
      <c r="B81" s="11">
        <f>'[1]34тарифы'!D173*B13*1.1194*1.01</f>
        <v>3401.9375451451315</v>
      </c>
      <c r="C81" s="73"/>
      <c r="D81" s="60"/>
    </row>
    <row r="82" spans="1:4" ht="15.75" x14ac:dyDescent="0.25">
      <c r="A82" s="214" t="s">
        <v>301</v>
      </c>
      <c r="B82" s="14">
        <f>B32+B42+B46+B66+B75+B77</f>
        <v>330201.36635479139</v>
      </c>
      <c r="C82" s="73"/>
      <c r="D82" s="60"/>
    </row>
    <row r="83" spans="1:4" ht="15.75" x14ac:dyDescent="0.25">
      <c r="A83" s="215" t="s">
        <v>302</v>
      </c>
      <c r="B83" s="11">
        <f>B82*0.03</f>
        <v>9906.0409906437417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340107.40734543512</v>
      </c>
      <c r="C84" s="73"/>
      <c r="D84" s="60"/>
    </row>
    <row r="85" spans="1:4" ht="16.5" thickBot="1" x14ac:dyDescent="0.3">
      <c r="A85" s="217" t="s">
        <v>304</v>
      </c>
      <c r="B85" s="142">
        <f>B84*0.2</f>
        <v>68021.481469087026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408128.88881452213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-895019.73881452205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2D000000}">
    <filterColumn colId="1">
      <filters>
        <filter val="1 493,90"/>
        <filter val="10 047,08"/>
        <filter val="10 619,69"/>
        <filter val="11 397,78"/>
        <filter val="126 143,24"/>
        <filter val="14 261,69"/>
        <filter val="2 069,69"/>
        <filter val="2 278,92"/>
        <filter val="2 427,49"/>
        <filter val="2 767,26"/>
        <filter val="20 082,27"/>
        <filter val="24 749,90"/>
        <filter val="27 105,21"/>
        <filter val="28 603,47"/>
        <filter val="29 997,10"/>
        <filter val="3 386,41"/>
        <filter val="3 401,94"/>
        <filter val="330 201,37"/>
        <filter val="340 107,41"/>
        <filter val="40 500,37"/>
        <filter val="408 128,89"/>
        <filter val="46 075,17"/>
        <filter val="50 792,14"/>
        <filter val="57 111,45"/>
        <filter val="57 220,97"/>
        <filter val="6 889,83"/>
        <filter val="68 021,48"/>
        <filter val="69,54"/>
        <filter val="7 500,00"/>
        <filter val="7 757,49"/>
        <filter val="8 541,29"/>
        <filter val="-895 019,74"/>
        <filter val="9 906,04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4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filterMode="1">
    <pageSetUpPr fitToPage="1"/>
  </sheetPr>
  <dimension ref="A1:G95"/>
  <sheetViews>
    <sheetView view="pageBreakPreview" topLeftCell="A66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139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-287082.36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1458.8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69.5</v>
      </c>
      <c r="C14" s="60"/>
      <c r="D14" s="59"/>
    </row>
    <row r="15" spans="1:4" ht="15.75" hidden="1" x14ac:dyDescent="0.25">
      <c r="A15" s="58" t="s">
        <v>237</v>
      </c>
      <c r="B15" s="11">
        <f>B13+B14</f>
        <v>1528.3</v>
      </c>
      <c r="C15" s="61"/>
      <c r="D15" s="62"/>
    </row>
    <row r="16" spans="1:4" ht="16.5" hidden="1" thickBot="1" x14ac:dyDescent="0.3">
      <c r="A16" s="58" t="s">
        <v>238</v>
      </c>
      <c r="B16" s="11">
        <f>810.9+1006/3</f>
        <v>1146.2333333333333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570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826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94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307196.90000000002</v>
      </c>
      <c r="C24" s="59"/>
      <c r="D24" s="62"/>
      <c r="E24" s="194">
        <v>15.510000000000002</v>
      </c>
      <c r="F24" s="195">
        <v>17.361893999999999</v>
      </c>
      <c r="G24" s="54"/>
    </row>
    <row r="25" spans="1:7" ht="16.5" thickBot="1" x14ac:dyDescent="0.3">
      <c r="A25" s="64" t="s">
        <v>318</v>
      </c>
      <c r="B25" s="14">
        <f>VLOOKUP(A5,мкд!W:Y,3,FALSE)</f>
        <v>299439.95</v>
      </c>
      <c r="C25" s="63"/>
      <c r="D25" s="62"/>
      <c r="E25" s="54"/>
      <c r="F25" s="54"/>
      <c r="G25" s="54"/>
    </row>
    <row r="26" spans="1:7" ht="15.75" x14ac:dyDescent="0.25">
      <c r="A26" s="64" t="s">
        <v>348</v>
      </c>
      <c r="B26" s="14">
        <v>14567.9</v>
      </c>
      <c r="C26" s="57"/>
      <c r="D26" s="59"/>
      <c r="E26" s="54"/>
      <c r="F26" s="54"/>
      <c r="G26" s="54"/>
    </row>
    <row r="27" spans="1:7" ht="16.5" thickBot="1" x14ac:dyDescent="0.3">
      <c r="A27" s="64" t="s">
        <v>349</v>
      </c>
      <c r="B27" s="14">
        <v>14914.72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7459.44</v>
      </c>
      <c r="C28" s="56"/>
      <c r="D28" s="62"/>
      <c r="E28" s="54"/>
      <c r="F28" s="54"/>
      <c r="G28" s="54"/>
    </row>
    <row r="29" spans="1:7" ht="16.5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96214.9</v>
      </c>
      <c r="C32" s="59"/>
      <c r="D32" s="62"/>
      <c r="E32" s="67">
        <f>(B86-B26-B24)/1.2/1.03</f>
        <v>168071.29340194064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v>29904.550000000003</v>
      </c>
      <c r="C33" s="63"/>
      <c r="D33" s="62">
        <v>19633.68</v>
      </c>
      <c r="E33" s="54"/>
      <c r="F33" s="54"/>
      <c r="G33" s="54"/>
    </row>
    <row r="34" spans="1:7" ht="15.75" x14ac:dyDescent="0.25">
      <c r="A34" s="69" t="s">
        <v>320</v>
      </c>
      <c r="B34" s="11">
        <v>2427.4899999999998</v>
      </c>
      <c r="C34" s="57"/>
      <c r="D34" s="59">
        <v>0</v>
      </c>
      <c r="E34" s="54"/>
      <c r="F34" s="54"/>
      <c r="G34" s="54"/>
    </row>
    <row r="35" spans="1:7" ht="15.75" x14ac:dyDescent="0.25">
      <c r="A35" s="69" t="s">
        <v>256</v>
      </c>
      <c r="B35" s="11">
        <v>4896.13</v>
      </c>
      <c r="C35" s="62"/>
      <c r="D35" s="59">
        <v>0</v>
      </c>
      <c r="E35" s="54"/>
      <c r="F35" s="54"/>
      <c r="G35" s="54"/>
    </row>
    <row r="36" spans="1:7" ht="15.75" x14ac:dyDescent="0.25">
      <c r="A36" s="69" t="s">
        <v>255</v>
      </c>
      <c r="B36" s="11">
        <v>16346.380000000001</v>
      </c>
      <c r="C36" s="62" t="s">
        <v>234</v>
      </c>
      <c r="D36" s="59">
        <v>0</v>
      </c>
      <c r="E36" s="54"/>
      <c r="F36" s="54"/>
      <c r="G36" s="54"/>
    </row>
    <row r="37" spans="1:7" ht="15.75" hidden="1" x14ac:dyDescent="0.25">
      <c r="A37" s="69" t="s">
        <v>257</v>
      </c>
      <c r="B37" s="11"/>
      <c r="C37" s="62"/>
      <c r="D37" s="59">
        <v>0</v>
      </c>
      <c r="E37" s="54"/>
      <c r="F37" s="54"/>
      <c r="G37" s="54"/>
    </row>
    <row r="38" spans="1:7" ht="15.75" hidden="1" x14ac:dyDescent="0.25">
      <c r="A38" s="69" t="s">
        <v>339</v>
      </c>
      <c r="B38" s="11">
        <v>0</v>
      </c>
      <c r="C38" s="62"/>
      <c r="D38" s="59">
        <v>0</v>
      </c>
      <c r="E38" s="54"/>
      <c r="F38" s="54"/>
      <c r="G38" s="54"/>
    </row>
    <row r="39" spans="1:7" ht="15.75" hidden="1" x14ac:dyDescent="0.25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5.75" hidden="1" x14ac:dyDescent="0.25">
      <c r="A40" s="69" t="s">
        <v>310</v>
      </c>
      <c r="B40" s="11">
        <v>0</v>
      </c>
      <c r="C40" s="62"/>
      <c r="D40" s="59"/>
      <c r="E40" s="54"/>
      <c r="F40" s="54"/>
      <c r="G40" s="54"/>
    </row>
    <row r="41" spans="1:7" ht="16.5" thickBot="1" x14ac:dyDescent="0.3">
      <c r="A41" s="69" t="s">
        <v>338</v>
      </c>
      <c r="B41" s="11">
        <v>42640.35</v>
      </c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69700.363769512158</v>
      </c>
      <c r="C42" s="56"/>
      <c r="D42" s="62"/>
      <c r="E42" s="67"/>
      <c r="F42" s="67"/>
      <c r="G42" s="67"/>
    </row>
    <row r="43" spans="1:7" ht="15.75" x14ac:dyDescent="0.25">
      <c r="A43" s="69" t="s">
        <v>262</v>
      </c>
      <c r="B43" s="11">
        <v>8541.2900000000009</v>
      </c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47392.75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('[1]34тарифы'!D163*B15+3120.61)*1.1194*1.0952</f>
        <v>13766.323769512164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32430.57</v>
      </c>
      <c r="C46" s="56"/>
      <c r="D46" s="62"/>
    </row>
    <row r="47" spans="1:7" ht="15.75" x14ac:dyDescent="0.25">
      <c r="A47" s="69" t="s">
        <v>324</v>
      </c>
      <c r="B47" s="162">
        <v>2394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62">
        <v>2907</v>
      </c>
      <c r="C48" s="62"/>
      <c r="D48" s="59"/>
      <c r="E48" s="54" t="s">
        <v>269</v>
      </c>
      <c r="F48" s="54"/>
      <c r="G48" s="54"/>
    </row>
    <row r="49" spans="1:5" ht="15.75" x14ac:dyDescent="0.25">
      <c r="A49" s="75" t="s">
        <v>281</v>
      </c>
      <c r="B49" s="167">
        <v>33.33</v>
      </c>
      <c r="C49" s="62"/>
      <c r="D49" s="59"/>
      <c r="E49" s="54"/>
    </row>
    <row r="50" spans="1:5" ht="15.75" hidden="1" x14ac:dyDescent="0.25">
      <c r="A50" s="75" t="s">
        <v>271</v>
      </c>
      <c r="B50" s="11">
        <v>0</v>
      </c>
      <c r="C50" s="62"/>
      <c r="D50" s="59">
        <v>4190</v>
      </c>
      <c r="E50" s="54"/>
    </row>
    <row r="51" spans="1:5" ht="15.75" hidden="1" x14ac:dyDescent="0.25">
      <c r="A51" s="75" t="s">
        <v>272</v>
      </c>
      <c r="B51" s="11">
        <v>0</v>
      </c>
      <c r="C51" s="62"/>
      <c r="D51" s="59"/>
      <c r="E51" s="54"/>
    </row>
    <row r="52" spans="1:5" ht="15.75" hidden="1" x14ac:dyDescent="0.25">
      <c r="A52" s="75" t="s">
        <v>273</v>
      </c>
      <c r="B52" s="11">
        <f>B21*'[1]34тарифы'!D177</f>
        <v>0</v>
      </c>
      <c r="C52" s="62"/>
      <c r="D52" s="59">
        <v>105.14</v>
      </c>
      <c r="E52" s="54"/>
    </row>
    <row r="53" spans="1:5" ht="15.75" hidden="1" x14ac:dyDescent="0.25">
      <c r="A53" s="75" t="s">
        <v>274</v>
      </c>
      <c r="B53" s="11">
        <v>0</v>
      </c>
      <c r="C53" s="62">
        <v>0</v>
      </c>
      <c r="D53" s="59">
        <v>522.99</v>
      </c>
      <c r="E53" s="54"/>
    </row>
    <row r="54" spans="1:5" ht="15.75" hidden="1" x14ac:dyDescent="0.25">
      <c r="A54" s="75" t="s">
        <v>275</v>
      </c>
      <c r="B54" s="11">
        <v>0</v>
      </c>
      <c r="C54" s="62">
        <v>0</v>
      </c>
      <c r="D54" s="76">
        <v>695.13</v>
      </c>
      <c r="E54" s="54"/>
    </row>
    <row r="55" spans="1:5" ht="15.75" hidden="1" x14ac:dyDescent="0.25">
      <c r="A55" s="75" t="s">
        <v>276</v>
      </c>
      <c r="B55" s="11">
        <v>0</v>
      </c>
      <c r="C55" s="62"/>
      <c r="D55" s="76"/>
      <c r="E55" s="54"/>
    </row>
    <row r="56" spans="1:5" ht="15.75" hidden="1" x14ac:dyDescent="0.25">
      <c r="A56" s="75" t="s">
        <v>277</v>
      </c>
      <c r="B56" s="11">
        <v>0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312</v>
      </c>
      <c r="B57" s="11">
        <v>0</v>
      </c>
      <c r="C57" s="62">
        <v>0</v>
      </c>
      <c r="D57" s="59">
        <f>2300/1.18</f>
        <v>1949.1525423728815</v>
      </c>
      <c r="E57" s="54"/>
    </row>
    <row r="58" spans="1:5" ht="15.75" x14ac:dyDescent="0.25">
      <c r="A58" s="75" t="s">
        <v>520</v>
      </c>
      <c r="B58" s="162">
        <v>4200</v>
      </c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>
        <v>0</v>
      </c>
      <c r="C59" s="56"/>
      <c r="D59" s="62"/>
      <c r="E59" s="54"/>
    </row>
    <row r="60" spans="1:5" ht="15.75" hidden="1" x14ac:dyDescent="0.25">
      <c r="A60" s="69" t="s">
        <v>279</v>
      </c>
      <c r="B60" s="11">
        <v>0</v>
      </c>
      <c r="C60" s="57"/>
      <c r="D60" s="59"/>
      <c r="E60" s="54"/>
    </row>
    <row r="61" spans="1:5" ht="15.75" hidden="1" x14ac:dyDescent="0.25">
      <c r="A61" s="69" t="s">
        <v>280</v>
      </c>
      <c r="B61" s="11">
        <v>0</v>
      </c>
      <c r="C61" s="62"/>
      <c r="D61" s="59">
        <v>0</v>
      </c>
      <c r="E61" s="54"/>
    </row>
    <row r="62" spans="1:5" ht="15.75" x14ac:dyDescent="0.25">
      <c r="A62" s="69" t="s">
        <v>518</v>
      </c>
      <c r="B62" s="11">
        <v>9968.27</v>
      </c>
      <c r="C62" s="62"/>
      <c r="D62" s="59">
        <v>0</v>
      </c>
      <c r="E62" s="54"/>
    </row>
    <row r="63" spans="1:5" ht="16.5" thickBot="1" x14ac:dyDescent="0.3">
      <c r="A63" s="69" t="s">
        <v>337</v>
      </c>
      <c r="B63" s="132">
        <v>12927.97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34</v>
      </c>
      <c r="D64" s="62">
        <v>2</v>
      </c>
      <c r="E64" s="54">
        <v>1</v>
      </c>
    </row>
    <row r="65" spans="1:4" s="55" customFormat="1" ht="16.5" hidden="1" thickBot="1" x14ac:dyDescent="0.3">
      <c r="A65" s="69" t="s">
        <v>284</v>
      </c>
      <c r="B65" s="132">
        <v>0</v>
      </c>
      <c r="C65" s="80">
        <v>34</v>
      </c>
      <c r="D65" s="73">
        <f>650/1.18</f>
        <v>550.84745762711873</v>
      </c>
    </row>
    <row r="66" spans="1:4" s="55" customFormat="1" ht="16.5" thickBot="1" x14ac:dyDescent="0.3">
      <c r="A66" s="175" t="s">
        <v>285</v>
      </c>
      <c r="B66" s="121">
        <f>SUM(B67:B74)</f>
        <v>121966.7179984768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41772*1.04*1.1194*1.0952</f>
        <v>53259.5320518144</v>
      </c>
      <c r="C68" s="56"/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2063.2049999999999</v>
      </c>
      <c r="C70" s="60"/>
      <c r="D70" s="73"/>
    </row>
    <row r="71" spans="1:4" ht="15.75" x14ac:dyDescent="0.25">
      <c r="A71" s="74" t="s">
        <v>290</v>
      </c>
      <c r="B71" s="11">
        <f>5.06*B15</f>
        <v>7733.1979999999994</v>
      </c>
      <c r="C71" s="81"/>
      <c r="D71" s="60"/>
    </row>
    <row r="72" spans="1:4" ht="15.75" x14ac:dyDescent="0.25">
      <c r="A72" s="74" t="s">
        <v>291</v>
      </c>
      <c r="B72" s="11">
        <f>17.68*B15</f>
        <v>27020.343999999997</v>
      </c>
      <c r="C72" s="73"/>
      <c r="D72" s="60"/>
    </row>
    <row r="73" spans="1:4" ht="15.75" x14ac:dyDescent="0.25">
      <c r="A73" s="25" t="s">
        <v>292</v>
      </c>
      <c r="B73" s="11">
        <f>2648*1.04*1.1194*1.0952</f>
        <v>3376.2147101696</v>
      </c>
      <c r="C73" s="73"/>
      <c r="D73" s="60"/>
    </row>
    <row r="74" spans="1:4" ht="15.75" x14ac:dyDescent="0.25">
      <c r="A74" s="74" t="s">
        <v>293</v>
      </c>
      <c r="B74" s="11">
        <f>22364*1.04*1.1194*1.0952</f>
        <v>28514.224236492799</v>
      </c>
      <c r="C74" s="73"/>
      <c r="D74" s="60"/>
    </row>
    <row r="75" spans="1:4" ht="47.25" x14ac:dyDescent="0.25">
      <c r="A75" s="213" t="s">
        <v>326</v>
      </c>
      <c r="B75" s="121">
        <f>SUM(B76:B76)</f>
        <v>54343.60233795493</v>
      </c>
      <c r="C75" s="73"/>
      <c r="D75" s="60"/>
    </row>
    <row r="76" spans="1:4" ht="15.75" x14ac:dyDescent="0.25">
      <c r="A76" s="74" t="s">
        <v>295</v>
      </c>
      <c r="B76" s="11">
        <f>'[1]34ОЭР'!D165*1.1194*1.0952</f>
        <v>54343.60233795493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53742.64738661173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'[1]34тарифы'!D170*B15*1.1194*1.0952</f>
        <v>40373.568608104732</v>
      </c>
      <c r="C78" s="63"/>
      <c r="D78" s="60"/>
    </row>
    <row r="79" spans="1:4" ht="16.5" thickBot="1" x14ac:dyDescent="0.3">
      <c r="A79" s="35" t="s">
        <v>298</v>
      </c>
      <c r="B79" s="11">
        <f>(B26/1.2)*30%</f>
        <v>3641.9749999999999</v>
      </c>
      <c r="C79" s="65"/>
      <c r="D79" s="73"/>
    </row>
    <row r="80" spans="1:4" ht="15.75" x14ac:dyDescent="0.25">
      <c r="A80" s="83" t="s">
        <v>328</v>
      </c>
      <c r="B80" s="11">
        <f>3019.25+3197.72</f>
        <v>6216.9699999999993</v>
      </c>
      <c r="C80" s="81"/>
      <c r="D80" s="60"/>
    </row>
    <row r="81" spans="1:4" ht="15.75" x14ac:dyDescent="0.25">
      <c r="A81" s="83" t="s">
        <v>329</v>
      </c>
      <c r="B81" s="11">
        <f>'[1]34тарифы'!D173*B13*1.1194*1.0952</f>
        <v>3510.1337785070004</v>
      </c>
      <c r="C81" s="73"/>
      <c r="D81" s="60"/>
    </row>
    <row r="82" spans="1:4" ht="15.75" x14ac:dyDescent="0.25">
      <c r="A82" s="214" t="s">
        <v>301</v>
      </c>
      <c r="B82" s="14">
        <f>B32+B42+B46+B66+B75+B77</f>
        <v>428398.80149255559</v>
      </c>
      <c r="C82" s="73"/>
      <c r="D82" s="60"/>
    </row>
    <row r="83" spans="1:4" ht="15.75" x14ac:dyDescent="0.25">
      <c r="A83" s="215" t="s">
        <v>302</v>
      </c>
      <c r="B83" s="11">
        <f>B82*0.03</f>
        <v>12851.964044776667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441250.76553733228</v>
      </c>
      <c r="C84" s="73"/>
      <c r="D84" s="60"/>
    </row>
    <row r="85" spans="1:4" ht="16.5" thickBot="1" x14ac:dyDescent="0.3">
      <c r="A85" s="217" t="s">
        <v>304</v>
      </c>
      <c r="B85" s="142">
        <f>B84*0.2</f>
        <v>88250.153107466467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529500.91864479869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-487359.03864479862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2E000000}">
    <filterColumn colId="1">
      <filters>
        <filter val="12 851,96"/>
        <filter val="12 927,97"/>
        <filter val="121 966,72"/>
        <filter val="13 766,32"/>
        <filter val="16 346,38"/>
        <filter val="2 063,21"/>
        <filter val="2 394,00"/>
        <filter val="2 427,49"/>
        <filter val="2 907,00"/>
        <filter val="27 020,34"/>
        <filter val="28 514,22"/>
        <filter val="29 904,55"/>
        <filter val="3 376,21"/>
        <filter val="3 510,13"/>
        <filter val="3 641,98"/>
        <filter val="32 430,57"/>
        <filter val="33,33"/>
        <filter val="4 200,00"/>
        <filter val="4 896,13"/>
        <filter val="40 373,57"/>
        <filter val="42 640,35"/>
        <filter val="428 398,80"/>
        <filter val="441 250,77"/>
        <filter val="47 392,75"/>
        <filter val="-487 359,04"/>
        <filter val="529 500,92"/>
        <filter val="53 259,53"/>
        <filter val="53 742,65"/>
        <filter val="54 343,60"/>
        <filter val="6 216,97"/>
        <filter val="69 700,36"/>
        <filter val="7 733,20"/>
        <filter val="8 541,29"/>
        <filter val="88 250,15"/>
        <filter val="9 968,27"/>
        <filter val="96 214,9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7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filterMode="1">
    <pageSetUpPr fitToPage="1"/>
  </sheetPr>
  <dimension ref="A1:G95"/>
  <sheetViews>
    <sheetView view="pageBreakPreview" topLeftCell="A70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96.8554687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140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-156451.1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2055.5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0</v>
      </c>
      <c r="C14" s="60"/>
      <c r="D14" s="59"/>
    </row>
    <row r="15" spans="1:4" ht="15.75" hidden="1" x14ac:dyDescent="0.25">
      <c r="A15" s="58" t="s">
        <v>237</v>
      </c>
      <c r="B15" s="11">
        <f>B13+B14</f>
        <v>2055.5</v>
      </c>
      <c r="C15" s="61"/>
      <c r="D15" s="62"/>
    </row>
    <row r="16" spans="1:4" ht="16.5" hidden="1" thickBot="1" x14ac:dyDescent="0.3">
      <c r="A16" s="58" t="s">
        <v>238</v>
      </c>
      <c r="B16" s="11">
        <f>529.7+1688.4/3</f>
        <v>1092.5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641.70000000000005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826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117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/>
      <c r="F23" s="54"/>
      <c r="G23" s="54"/>
    </row>
    <row r="24" spans="1:7" ht="15.75" x14ac:dyDescent="0.25">
      <c r="A24" s="258" t="s">
        <v>317</v>
      </c>
      <c r="B24" s="255">
        <f>VLOOKUP(A5,мкд!W:X,2,FALSE)</f>
        <v>402800.44</v>
      </c>
      <c r="C24" s="59"/>
      <c r="D24" s="62"/>
      <c r="E24" s="194">
        <v>14.459999999999999</v>
      </c>
      <c r="F24" s="195">
        <v>16.186523999999999</v>
      </c>
      <c r="G24" s="54"/>
    </row>
    <row r="25" spans="1:7" ht="16.5" thickBot="1" x14ac:dyDescent="0.3">
      <c r="A25" s="64" t="s">
        <v>318</v>
      </c>
      <c r="B25" s="14">
        <f>VLOOKUP(A5,мкд!W:Y,3,FALSE)</f>
        <v>401062.31000000006</v>
      </c>
      <c r="C25" s="63"/>
      <c r="D25" s="62"/>
      <c r="E25" s="54"/>
      <c r="F25" s="54"/>
      <c r="G25" s="54"/>
    </row>
    <row r="26" spans="1:7" ht="15.75" hidden="1" x14ac:dyDescent="0.25">
      <c r="A26" s="64" t="s">
        <v>319</v>
      </c>
      <c r="B26" s="14"/>
      <c r="C26" s="57"/>
      <c r="D26" s="59"/>
      <c r="E26" s="54"/>
      <c r="F26" s="54"/>
      <c r="G26" s="54"/>
    </row>
    <row r="27" spans="1:7" ht="16.5" hidden="1" thickBot="1" x14ac:dyDescent="0.3">
      <c r="A27" s="64" t="s">
        <v>248</v>
      </c>
      <c r="B27" s="14">
        <f>B26</f>
        <v>0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7154.31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53155.210000000006</v>
      </c>
      <c r="C32" s="59"/>
      <c r="D32" s="62"/>
      <c r="E32" s="67">
        <f>(B86-B26-B24)/1.2/1.03</f>
        <v>89029.320918517216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v>32910</v>
      </c>
      <c r="C33" s="63"/>
      <c r="D33" s="62">
        <v>17557.009999999998</v>
      </c>
      <c r="E33" s="54"/>
      <c r="F33" s="54"/>
      <c r="G33" s="54"/>
    </row>
    <row r="34" spans="1:7" ht="15.75" x14ac:dyDescent="0.25">
      <c r="A34" s="69" t="s">
        <v>320</v>
      </c>
      <c r="B34" s="11">
        <v>606.87</v>
      </c>
      <c r="C34" s="57"/>
      <c r="D34" s="59">
        <v>0</v>
      </c>
      <c r="E34" s="54"/>
      <c r="F34" s="54"/>
      <c r="G34" s="54"/>
    </row>
    <row r="35" spans="1:7" ht="15.75" hidden="1" x14ac:dyDescent="0.25">
      <c r="A35" s="69" t="s">
        <v>256</v>
      </c>
      <c r="B35" s="11">
        <v>0</v>
      </c>
      <c r="C35" s="62"/>
      <c r="D35" s="59">
        <v>0</v>
      </c>
      <c r="E35" s="54"/>
      <c r="F35" s="54"/>
      <c r="G35" s="54"/>
    </row>
    <row r="36" spans="1:7" ht="15.75" hidden="1" x14ac:dyDescent="0.25">
      <c r="A36" s="69" t="s">
        <v>255</v>
      </c>
      <c r="B36" s="11"/>
      <c r="C36" s="62" t="s">
        <v>234</v>
      </c>
      <c r="D36" s="59">
        <v>0</v>
      </c>
      <c r="E36" s="54"/>
      <c r="F36" s="54"/>
      <c r="G36" s="54"/>
    </row>
    <row r="37" spans="1:7" ht="15.75" hidden="1" x14ac:dyDescent="0.25">
      <c r="A37" s="69" t="s">
        <v>257</v>
      </c>
      <c r="B37" s="11">
        <v>0</v>
      </c>
      <c r="C37" s="62"/>
      <c r="D37" s="59">
        <v>0</v>
      </c>
      <c r="E37" s="54"/>
      <c r="F37" s="54"/>
      <c r="G37" s="54"/>
    </row>
    <row r="38" spans="1:7" ht="15.75" hidden="1" x14ac:dyDescent="0.25">
      <c r="A38" s="69" t="s">
        <v>258</v>
      </c>
      <c r="B38" s="11">
        <v>0</v>
      </c>
      <c r="C38" s="62"/>
      <c r="D38" s="59">
        <v>0</v>
      </c>
      <c r="E38" s="54"/>
      <c r="F38" s="54"/>
      <c r="G38" s="54"/>
    </row>
    <row r="39" spans="1:7" ht="15.75" hidden="1" x14ac:dyDescent="0.25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6.5" thickBot="1" x14ac:dyDescent="0.3">
      <c r="A40" s="69" t="s">
        <v>338</v>
      </c>
      <c r="B40" s="11">
        <v>19638.34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257</v>
      </c>
      <c r="B41" s="11"/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44514.643260534387</v>
      </c>
      <c r="C42" s="56"/>
      <c r="D42" s="62"/>
      <c r="E42" s="67"/>
      <c r="F42" s="67"/>
      <c r="G42" s="67"/>
    </row>
    <row r="43" spans="1:7" ht="15.75" x14ac:dyDescent="0.25">
      <c r="A43" s="69" t="s">
        <v>262</v>
      </c>
      <c r="B43" s="11">
        <v>8541.2900000000009</v>
      </c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22473.97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('[1]34тарифы'!D163*B15+105.83)*1.1194*1.0952</f>
        <v>13499.383260534381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29556.29</v>
      </c>
      <c r="C46" s="56"/>
      <c r="D46" s="62"/>
    </row>
    <row r="47" spans="1:7" ht="15.75" x14ac:dyDescent="0.25">
      <c r="A47" s="69" t="s">
        <v>324</v>
      </c>
      <c r="B47" s="162">
        <v>2695.08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62">
        <v>3272.7</v>
      </c>
      <c r="C48" s="62"/>
      <c r="D48" s="59"/>
      <c r="E48" s="54" t="s">
        <v>269</v>
      </c>
      <c r="F48" s="54"/>
      <c r="G48" s="54"/>
    </row>
    <row r="49" spans="1:5" ht="15.75" x14ac:dyDescent="0.25">
      <c r="A49" s="75" t="s">
        <v>356</v>
      </c>
      <c r="B49" s="132">
        <v>68.72</v>
      </c>
      <c r="C49" s="62"/>
      <c r="D49" s="59"/>
      <c r="E49" s="54"/>
    </row>
    <row r="50" spans="1:5" ht="15.75" hidden="1" x14ac:dyDescent="0.25">
      <c r="A50" s="75" t="s">
        <v>271</v>
      </c>
      <c r="B50" s="11">
        <v>0</v>
      </c>
      <c r="C50" s="62"/>
      <c r="D50" s="59">
        <v>4190</v>
      </c>
      <c r="E50" s="54"/>
    </row>
    <row r="51" spans="1:5" ht="15.75" hidden="1" x14ac:dyDescent="0.25">
      <c r="A51" s="75" t="s">
        <v>272</v>
      </c>
      <c r="B51" s="11">
        <v>0</v>
      </c>
      <c r="C51" s="62"/>
      <c r="D51" s="59"/>
      <c r="E51" s="54"/>
    </row>
    <row r="52" spans="1:5" ht="15.75" hidden="1" x14ac:dyDescent="0.25">
      <c r="A52" s="75" t="s">
        <v>273</v>
      </c>
      <c r="B52" s="11">
        <f>B21*'[1]34тарифы'!D177</f>
        <v>0</v>
      </c>
      <c r="C52" s="62"/>
      <c r="D52" s="59">
        <v>105.14</v>
      </c>
      <c r="E52" s="54"/>
    </row>
    <row r="53" spans="1:5" ht="15.75" hidden="1" x14ac:dyDescent="0.25">
      <c r="A53" s="75" t="s">
        <v>274</v>
      </c>
      <c r="B53" s="11">
        <v>0</v>
      </c>
      <c r="C53" s="62">
        <v>0</v>
      </c>
      <c r="D53" s="59">
        <v>522.99</v>
      </c>
      <c r="E53" s="54"/>
    </row>
    <row r="54" spans="1:5" ht="15.75" hidden="1" x14ac:dyDescent="0.25">
      <c r="A54" s="75" t="s">
        <v>275</v>
      </c>
      <c r="B54" s="11">
        <v>0</v>
      </c>
      <c r="C54" s="62">
        <v>0</v>
      </c>
      <c r="D54" s="76">
        <v>695.13</v>
      </c>
      <c r="E54" s="54"/>
    </row>
    <row r="55" spans="1:5" ht="15.75" hidden="1" x14ac:dyDescent="0.25">
      <c r="A55" s="75" t="s">
        <v>276</v>
      </c>
      <c r="B55" s="11">
        <v>0</v>
      </c>
      <c r="C55" s="62"/>
      <c r="D55" s="76"/>
      <c r="E55" s="54"/>
    </row>
    <row r="56" spans="1:5" ht="15.75" hidden="1" x14ac:dyDescent="0.25">
      <c r="A56" s="75" t="s">
        <v>277</v>
      </c>
      <c r="B56" s="11">
        <v>0</v>
      </c>
      <c r="C56" s="62">
        <v>0</v>
      </c>
      <c r="D56" s="59">
        <f>10695.76/1.18</f>
        <v>9064.203389830509</v>
      </c>
      <c r="E56" s="54"/>
    </row>
    <row r="57" spans="1:5" ht="15.75" x14ac:dyDescent="0.25">
      <c r="A57" s="75" t="s">
        <v>518</v>
      </c>
      <c r="B57" s="162">
        <v>6210.38</v>
      </c>
      <c r="C57" s="62">
        <v>0</v>
      </c>
      <c r="D57" s="59">
        <f>2300/1.18</f>
        <v>1949.1525423728815</v>
      </c>
      <c r="E57" s="54"/>
    </row>
    <row r="58" spans="1:5" ht="15.75" hidden="1" x14ac:dyDescent="0.25">
      <c r="A58" s="75" t="s">
        <v>313</v>
      </c>
      <c r="B58" s="11"/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</row>
    <row r="60" spans="1:5" ht="15.75" hidden="1" x14ac:dyDescent="0.25">
      <c r="A60" s="69" t="s">
        <v>279</v>
      </c>
      <c r="B60" s="11">
        <v>0</v>
      </c>
      <c r="C60" s="57"/>
      <c r="D60" s="59"/>
      <c r="E60" s="54"/>
    </row>
    <row r="61" spans="1:5" ht="15.75" hidden="1" x14ac:dyDescent="0.25">
      <c r="A61" s="69" t="s">
        <v>280</v>
      </c>
      <c r="B61" s="11">
        <v>0</v>
      </c>
      <c r="C61" s="62"/>
      <c r="D61" s="59">
        <v>0</v>
      </c>
      <c r="E61" s="54"/>
    </row>
    <row r="62" spans="1:5" ht="15.75" hidden="1" x14ac:dyDescent="0.25">
      <c r="A62" s="69" t="s">
        <v>336</v>
      </c>
      <c r="B62" s="11">
        <v>0</v>
      </c>
      <c r="C62" s="62"/>
      <c r="D62" s="59">
        <v>0</v>
      </c>
      <c r="E62" s="54"/>
    </row>
    <row r="63" spans="1:5" ht="16.5" thickBot="1" x14ac:dyDescent="0.3">
      <c r="A63" s="69" t="s">
        <v>337</v>
      </c>
      <c r="B63" s="162">
        <v>17309.41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48</v>
      </c>
      <c r="D64" s="62">
        <v>2</v>
      </c>
      <c r="E64" s="54">
        <v>1</v>
      </c>
    </row>
    <row r="65" spans="1:4" s="55" customFormat="1" ht="16.5" hidden="1" thickBot="1" x14ac:dyDescent="0.3">
      <c r="A65" s="69" t="s">
        <v>284</v>
      </c>
      <c r="B65" s="132">
        <v>0</v>
      </c>
      <c r="C65" s="80">
        <v>48</v>
      </c>
      <c r="D65" s="73">
        <f>650/1.18</f>
        <v>550.84745762711873</v>
      </c>
    </row>
    <row r="66" spans="1:4" s="55" customFormat="1" ht="16.5" thickBot="1" x14ac:dyDescent="0.3">
      <c r="A66" s="175" t="s">
        <v>285</v>
      </c>
      <c r="B66" s="121">
        <f>SUM(B67:B74)</f>
        <v>142842.30161841918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39556*1.04*1.1194*1.0952</f>
        <v>50434.119741491195</v>
      </c>
      <c r="C68" s="56">
        <f>46*B16</f>
        <v>50255</v>
      </c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2774.9250000000002</v>
      </c>
      <c r="C70" s="60"/>
      <c r="D70" s="73"/>
    </row>
    <row r="71" spans="1:4" ht="15.75" x14ac:dyDescent="0.25">
      <c r="A71" s="74" t="s">
        <v>290</v>
      </c>
      <c r="B71" s="11">
        <f>5.06*B15</f>
        <v>10400.83</v>
      </c>
      <c r="C71" s="81"/>
      <c r="D71" s="60"/>
    </row>
    <row r="72" spans="1:4" ht="15.75" x14ac:dyDescent="0.25">
      <c r="A72" s="74" t="s">
        <v>291</v>
      </c>
      <c r="B72" s="11">
        <f>17.68*B15</f>
        <v>36341.24</v>
      </c>
      <c r="C72" s="73"/>
      <c r="D72" s="60"/>
    </row>
    <row r="73" spans="1:4" ht="15.75" x14ac:dyDescent="0.25">
      <c r="A73" s="25" t="s">
        <v>292</v>
      </c>
      <c r="B73" s="11">
        <f>3562*1.04*1.1194*1.0952</f>
        <v>4541.5697876223994</v>
      </c>
      <c r="C73" s="73"/>
      <c r="D73" s="60"/>
    </row>
    <row r="74" spans="1:4" ht="15.75" x14ac:dyDescent="0.25">
      <c r="A74" s="74" t="s">
        <v>293</v>
      </c>
      <c r="B74" s="11">
        <f>30078*1.04*1.1194*1.0952</f>
        <v>38349.617089305597</v>
      </c>
      <c r="C74" s="73"/>
      <c r="D74" s="60"/>
    </row>
    <row r="75" spans="1:4" ht="63" x14ac:dyDescent="0.25">
      <c r="A75" s="213" t="s">
        <v>326</v>
      </c>
      <c r="B75" s="121">
        <f>SUM(B76:B76)</f>
        <v>76572.028109176274</v>
      </c>
      <c r="C75" s="73"/>
      <c r="D75" s="60"/>
    </row>
    <row r="76" spans="1:4" ht="15.75" x14ac:dyDescent="0.25">
      <c r="A76" s="74" t="s">
        <v>295</v>
      </c>
      <c r="B76" s="11">
        <f>'[1]34ОЭР'!D166*1.1194*1.0952</f>
        <v>76572.028109176274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68279.171554982822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'[1]34тарифы'!D170*B15*1.1194*1.0952</f>
        <v>54300.772278976154</v>
      </c>
      <c r="C78" s="63"/>
      <c r="D78" s="60"/>
    </row>
    <row r="79" spans="1:4" ht="16.5" hidden="1" thickBot="1" x14ac:dyDescent="0.3">
      <c r="A79" s="35" t="s">
        <v>298</v>
      </c>
      <c r="B79" s="11">
        <f>(B26/1.2)*30%</f>
        <v>0</v>
      </c>
      <c r="C79" s="65"/>
      <c r="D79" s="73"/>
    </row>
    <row r="80" spans="1:4" ht="15.75" x14ac:dyDescent="0.25">
      <c r="A80" s="83" t="s">
        <v>328</v>
      </c>
      <c r="B80" s="11">
        <f>4262.5+5154.76</f>
        <v>9417.26</v>
      </c>
      <c r="C80" s="81"/>
      <c r="D80" s="60"/>
    </row>
    <row r="81" spans="1:4" ht="15.75" x14ac:dyDescent="0.25">
      <c r="A81" s="83" t="s">
        <v>329</v>
      </c>
      <c r="B81" s="11">
        <f>'[1]34тарифы'!D173*B13*1.1194*1.01</f>
        <v>4561.1392760066656</v>
      </c>
      <c r="C81" s="73"/>
      <c r="D81" s="60"/>
    </row>
    <row r="82" spans="1:4" ht="15.75" x14ac:dyDescent="0.25">
      <c r="A82" s="214" t="s">
        <v>301</v>
      </c>
      <c r="B82" s="14">
        <f>B32+B42+B46+B66+B75+B77</f>
        <v>414919.64454311266</v>
      </c>
      <c r="C82" s="73"/>
      <c r="D82" s="60"/>
    </row>
    <row r="83" spans="1:4" ht="15.75" x14ac:dyDescent="0.25">
      <c r="A83" s="215" t="s">
        <v>302</v>
      </c>
      <c r="B83" s="11">
        <f>B82*0.03</f>
        <v>12447.58933629338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427367.23387940606</v>
      </c>
      <c r="C84" s="73"/>
      <c r="D84" s="60"/>
    </row>
    <row r="85" spans="1:4" ht="16.5" thickBot="1" x14ac:dyDescent="0.3">
      <c r="A85" s="217" t="s">
        <v>304</v>
      </c>
      <c r="B85" s="142">
        <f>B84*0.2</f>
        <v>85473.446775881224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512840.68065528729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-259337.03065528729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2F000000}">
    <filterColumn colId="1">
      <filters>
        <filter val="10 400,83"/>
        <filter val="12 447,59"/>
        <filter val="13 499,38"/>
        <filter val="142 842,30"/>
        <filter val="17 309,41"/>
        <filter val="19 638,34"/>
        <filter val="2 695,08"/>
        <filter val="2 774,93"/>
        <filter val="22 473,97"/>
        <filter val="-259 337,03"/>
        <filter val="29 556,29"/>
        <filter val="3 272,70"/>
        <filter val="32 910,00"/>
        <filter val="36 341,24"/>
        <filter val="38 349,62"/>
        <filter val="4 541,57"/>
        <filter val="4 561,14"/>
        <filter val="414 919,64"/>
        <filter val="427 367,23"/>
        <filter val="44 514,64"/>
        <filter val="50 434,12"/>
        <filter val="512 840,68"/>
        <filter val="53 155,21"/>
        <filter val="54 300,77"/>
        <filter val="6 210,38"/>
        <filter val="606,87"/>
        <filter val="68 279,17"/>
        <filter val="68,72"/>
        <filter val="76 572,03"/>
        <filter val="8 541,29"/>
        <filter val="85 473,45"/>
        <filter val="9 417,26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4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filterMode="1">
    <pageSetUpPr fitToPage="1"/>
  </sheetPr>
  <dimension ref="A1:G95"/>
  <sheetViews>
    <sheetView view="pageBreakPreview" topLeftCell="A3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97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141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-249006.07999999999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1531.9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0</v>
      </c>
      <c r="C14" s="60"/>
      <c r="D14" s="59"/>
    </row>
    <row r="15" spans="1:4" ht="15.75" hidden="1" x14ac:dyDescent="0.25">
      <c r="A15" s="58" t="s">
        <v>237</v>
      </c>
      <c r="B15" s="11">
        <f>B13+B14</f>
        <v>1531.9</v>
      </c>
      <c r="C15" s="61"/>
      <c r="D15" s="62"/>
    </row>
    <row r="16" spans="1:4" ht="16.5" hidden="1" thickBot="1" x14ac:dyDescent="0.3">
      <c r="A16" s="58" t="s">
        <v>238</v>
      </c>
      <c r="B16" s="11">
        <f>697.4+962.7/3</f>
        <v>1018.3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641.1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826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98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305989.62</v>
      </c>
      <c r="C24" s="59"/>
      <c r="D24" s="62"/>
      <c r="E24" s="194">
        <v>14.73</v>
      </c>
      <c r="F24" s="195">
        <v>16.488762000000001</v>
      </c>
      <c r="G24" s="54"/>
    </row>
    <row r="25" spans="1:7" ht="16.5" thickBot="1" x14ac:dyDescent="0.3">
      <c r="A25" s="64" t="s">
        <v>318</v>
      </c>
      <c r="B25" s="14">
        <f>VLOOKUP(A5,мкд!W:Y,3,FALSE)</f>
        <v>302356.45</v>
      </c>
      <c r="C25" s="63"/>
      <c r="D25" s="62"/>
      <c r="E25" s="54"/>
      <c r="F25" s="54"/>
      <c r="G25" s="54"/>
    </row>
    <row r="26" spans="1:7" ht="15.75" hidden="1" x14ac:dyDescent="0.25">
      <c r="A26" s="64" t="s">
        <v>319</v>
      </c>
      <c r="B26" s="14"/>
      <c r="C26" s="57"/>
      <c r="D26" s="59"/>
      <c r="E26" s="54"/>
      <c r="F26" s="54"/>
      <c r="G26" s="54"/>
    </row>
    <row r="27" spans="1:7" ht="16.5" hidden="1" thickBot="1" x14ac:dyDescent="0.3">
      <c r="A27" s="64" t="s">
        <v>248</v>
      </c>
      <c r="B27" s="14">
        <f>B26</f>
        <v>0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5781.36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96214.9</v>
      </c>
      <c r="C32" s="59"/>
      <c r="D32" s="62"/>
      <c r="E32" s="67">
        <f>(B86-B26-B24)/1.2/1.03</f>
        <v>170038.06641176218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v>29904.550000000003</v>
      </c>
      <c r="C33" s="63"/>
      <c r="D33" s="62">
        <v>27374.79</v>
      </c>
      <c r="E33" s="54"/>
      <c r="F33" s="54"/>
      <c r="G33" s="54"/>
    </row>
    <row r="34" spans="1:7" ht="15.75" x14ac:dyDescent="0.25">
      <c r="A34" s="69" t="s">
        <v>320</v>
      </c>
      <c r="B34" s="11"/>
      <c r="C34" s="57"/>
      <c r="D34" s="59">
        <v>0</v>
      </c>
      <c r="E34" s="54"/>
      <c r="F34" s="54"/>
      <c r="G34" s="54"/>
    </row>
    <row r="35" spans="1:7" ht="15.75" x14ac:dyDescent="0.25">
      <c r="A35" s="69" t="s">
        <v>256</v>
      </c>
      <c r="B35" s="11">
        <v>4896.13</v>
      </c>
      <c r="C35" s="62"/>
      <c r="D35" s="59">
        <v>0</v>
      </c>
      <c r="E35" s="54"/>
      <c r="F35" s="54"/>
      <c r="G35" s="54"/>
    </row>
    <row r="36" spans="1:7" ht="15.75" x14ac:dyDescent="0.25">
      <c r="A36" s="69" t="s">
        <v>255</v>
      </c>
      <c r="B36" s="11">
        <v>18773.87</v>
      </c>
      <c r="C36" s="62" t="s">
        <v>234</v>
      </c>
      <c r="D36" s="59">
        <v>0</v>
      </c>
      <c r="E36" s="54"/>
      <c r="F36" s="54"/>
      <c r="G36" s="54"/>
    </row>
    <row r="37" spans="1:7" ht="15.75" hidden="1" x14ac:dyDescent="0.25">
      <c r="A37" s="69" t="s">
        <v>257</v>
      </c>
      <c r="B37" s="11">
        <v>0</v>
      </c>
      <c r="C37" s="62"/>
      <c r="D37" s="59">
        <v>0</v>
      </c>
      <c r="E37" s="54"/>
      <c r="F37" s="54"/>
      <c r="G37" s="54"/>
    </row>
    <row r="38" spans="1:7" ht="15.75" x14ac:dyDescent="0.25">
      <c r="A38" s="69" t="s">
        <v>338</v>
      </c>
      <c r="B38" s="11">
        <v>42640.35</v>
      </c>
      <c r="C38" s="62"/>
      <c r="D38" s="59">
        <v>0</v>
      </c>
      <c r="E38" s="54"/>
      <c r="F38" s="54"/>
      <c r="G38" s="54"/>
    </row>
    <row r="39" spans="1:7" ht="15.75" hidden="1" x14ac:dyDescent="0.25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5.75" hidden="1" x14ac:dyDescent="0.25">
      <c r="A40" s="69" t="s">
        <v>310</v>
      </c>
      <c r="B40" s="11">
        <v>0</v>
      </c>
      <c r="C40" s="62"/>
      <c r="D40" s="59"/>
      <c r="E40" s="54"/>
      <c r="F40" s="54"/>
      <c r="G40" s="54"/>
    </row>
    <row r="41" spans="1:7" ht="16.5" thickBot="1" x14ac:dyDescent="0.3">
      <c r="A41" s="69" t="s">
        <v>255</v>
      </c>
      <c r="B41" s="11"/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66037.603421580192</v>
      </c>
      <c r="C42" s="56"/>
      <c r="D42" s="62"/>
      <c r="E42" s="67"/>
      <c r="F42" s="67"/>
      <c r="G42" s="67"/>
    </row>
    <row r="43" spans="1:7" ht="15.75" x14ac:dyDescent="0.25">
      <c r="A43" s="69" t="s">
        <v>262</v>
      </c>
      <c r="B43" s="11">
        <v>8541.2900000000009</v>
      </c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47392.75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('[1]34тарифы'!D163*B15+113.86)*1.1194*1.0952</f>
        <v>10103.563421580191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32162.639999999999</v>
      </c>
      <c r="C46" s="56"/>
      <c r="D46" s="62"/>
    </row>
    <row r="47" spans="1:7" ht="15.75" x14ac:dyDescent="0.25">
      <c r="A47" s="69" t="s">
        <v>324</v>
      </c>
      <c r="B47" s="162">
        <v>2692.56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62">
        <v>3269.64</v>
      </c>
      <c r="C48" s="62"/>
      <c r="D48" s="59"/>
      <c r="E48" s="54" t="s">
        <v>269</v>
      </c>
      <c r="F48" s="54"/>
      <c r="G48" s="54"/>
    </row>
    <row r="49" spans="1:5" ht="15.75" x14ac:dyDescent="0.25">
      <c r="A49" s="75" t="s">
        <v>281</v>
      </c>
      <c r="B49" s="167">
        <v>124.52</v>
      </c>
      <c r="C49" s="62"/>
      <c r="D49" s="59"/>
      <c r="E49" s="54"/>
    </row>
    <row r="50" spans="1:5" ht="15.75" hidden="1" x14ac:dyDescent="0.25">
      <c r="A50" s="75" t="s">
        <v>271</v>
      </c>
      <c r="B50" s="11">
        <v>0</v>
      </c>
      <c r="C50" s="62"/>
      <c r="D50" s="59">
        <v>4190</v>
      </c>
      <c r="E50" s="54"/>
    </row>
    <row r="51" spans="1:5" ht="15.75" hidden="1" x14ac:dyDescent="0.25">
      <c r="A51" s="75" t="s">
        <v>272</v>
      </c>
      <c r="B51" s="11">
        <v>0</v>
      </c>
      <c r="C51" s="62"/>
      <c r="D51" s="59"/>
      <c r="E51" s="54"/>
    </row>
    <row r="52" spans="1:5" ht="15.75" hidden="1" x14ac:dyDescent="0.25">
      <c r="A52" s="75" t="s">
        <v>273</v>
      </c>
      <c r="B52" s="11">
        <f>B21*'[1]34тарифы'!D177</f>
        <v>0</v>
      </c>
      <c r="C52" s="62"/>
      <c r="D52" s="59">
        <v>105.14</v>
      </c>
      <c r="E52" s="54"/>
    </row>
    <row r="53" spans="1:5" ht="15.75" hidden="1" x14ac:dyDescent="0.25">
      <c r="A53" s="75" t="s">
        <v>274</v>
      </c>
      <c r="B53" s="11">
        <v>0</v>
      </c>
      <c r="C53" s="62">
        <v>0</v>
      </c>
      <c r="D53" s="59">
        <v>522.99</v>
      </c>
      <c r="E53" s="54"/>
    </row>
    <row r="54" spans="1:5" ht="15.75" hidden="1" x14ac:dyDescent="0.25">
      <c r="A54" s="75" t="s">
        <v>275</v>
      </c>
      <c r="B54" s="11">
        <v>0</v>
      </c>
      <c r="C54" s="62">
        <v>0</v>
      </c>
      <c r="D54" s="76">
        <v>695.13</v>
      </c>
      <c r="E54" s="54"/>
    </row>
    <row r="55" spans="1:5" ht="15.75" hidden="1" x14ac:dyDescent="0.25">
      <c r="A55" s="75" t="s">
        <v>276</v>
      </c>
      <c r="B55" s="11">
        <v>0</v>
      </c>
      <c r="C55" s="62"/>
      <c r="D55" s="76"/>
      <c r="E55" s="54"/>
    </row>
    <row r="56" spans="1:5" ht="15.75" hidden="1" x14ac:dyDescent="0.25">
      <c r="A56" s="75" t="s">
        <v>277</v>
      </c>
      <c r="B56" s="11">
        <v>0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312</v>
      </c>
      <c r="B57" s="11">
        <v>0</v>
      </c>
      <c r="C57" s="62">
        <v>0</v>
      </c>
      <c r="D57" s="59">
        <f>2300/1.18</f>
        <v>1949.1525423728815</v>
      </c>
      <c r="E57" s="54"/>
    </row>
    <row r="58" spans="1:5" ht="15.75" x14ac:dyDescent="0.25">
      <c r="A58" s="75" t="s">
        <v>518</v>
      </c>
      <c r="B58" s="162">
        <v>11726.35</v>
      </c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</row>
    <row r="60" spans="1:5" ht="15.75" hidden="1" x14ac:dyDescent="0.25">
      <c r="A60" s="69" t="s">
        <v>279</v>
      </c>
      <c r="B60" s="11">
        <v>0</v>
      </c>
      <c r="C60" s="57"/>
      <c r="D60" s="59"/>
      <c r="E60" s="54"/>
    </row>
    <row r="61" spans="1:5" ht="15.75" hidden="1" x14ac:dyDescent="0.25">
      <c r="A61" s="69" t="s">
        <v>280</v>
      </c>
      <c r="B61" s="11">
        <v>0</v>
      </c>
      <c r="C61" s="62"/>
      <c r="D61" s="59">
        <v>0</v>
      </c>
      <c r="E61" s="54"/>
    </row>
    <row r="62" spans="1:5" ht="15.75" hidden="1" x14ac:dyDescent="0.25">
      <c r="A62" s="69" t="s">
        <v>336</v>
      </c>
      <c r="B62" s="11">
        <v>0</v>
      </c>
      <c r="C62" s="62"/>
      <c r="D62" s="59">
        <v>0</v>
      </c>
      <c r="E62" s="54"/>
    </row>
    <row r="63" spans="1:5" ht="16.5" thickBot="1" x14ac:dyDescent="0.3">
      <c r="A63" s="69" t="s">
        <v>337</v>
      </c>
      <c r="B63" s="162">
        <v>14349.57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36</v>
      </c>
      <c r="D64" s="62">
        <v>2</v>
      </c>
      <c r="E64" s="54">
        <v>1</v>
      </c>
    </row>
    <row r="65" spans="1:4" s="55" customFormat="1" ht="16.5" hidden="1" thickBot="1" x14ac:dyDescent="0.3">
      <c r="A65" s="69" t="s">
        <v>284</v>
      </c>
      <c r="B65" s="132">
        <v>0</v>
      </c>
      <c r="C65" s="80">
        <v>36</v>
      </c>
      <c r="D65" s="73">
        <f>650/1.18</f>
        <v>550.84745762711873</v>
      </c>
    </row>
    <row r="66" spans="1:4" s="55" customFormat="1" ht="16.5" thickBot="1" x14ac:dyDescent="0.3">
      <c r="A66" s="175" t="s">
        <v>285</v>
      </c>
      <c r="B66" s="121">
        <f>SUM(B67:B74)</f>
        <v>116151.44128345601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37085*1.04*1.1194*1.0952</f>
        <v>47283.581014591997</v>
      </c>
      <c r="C68" s="56"/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2068.0650000000001</v>
      </c>
      <c r="C70" s="60"/>
      <c r="D70" s="73"/>
    </row>
    <row r="71" spans="1:4" ht="15.75" x14ac:dyDescent="0.25">
      <c r="A71" s="74" t="s">
        <v>290</v>
      </c>
      <c r="B71" s="11">
        <f>5.06*B15</f>
        <v>7751.4139999999998</v>
      </c>
      <c r="C71" s="81"/>
      <c r="D71" s="60"/>
    </row>
    <row r="72" spans="1:4" ht="15.75" x14ac:dyDescent="0.25">
      <c r="A72" s="74" t="s">
        <v>291</v>
      </c>
      <c r="B72" s="11">
        <f>17.68*B15</f>
        <v>27083.992000000002</v>
      </c>
      <c r="C72" s="73"/>
      <c r="D72" s="60"/>
    </row>
    <row r="73" spans="1:4" ht="15.75" x14ac:dyDescent="0.25">
      <c r="A73" s="25" t="s">
        <v>292</v>
      </c>
      <c r="B73" s="11">
        <f>2654*1.04*1.1194*1.0952</f>
        <v>3383.8647435008002</v>
      </c>
      <c r="C73" s="73"/>
      <c r="D73" s="60"/>
    </row>
    <row r="74" spans="1:4" ht="15.75" x14ac:dyDescent="0.25">
      <c r="A74" s="74" t="s">
        <v>293</v>
      </c>
      <c r="B74" s="11">
        <f>22416*1.04*1.1194*1.0952</f>
        <v>28580.524525363198</v>
      </c>
      <c r="C74" s="73"/>
      <c r="D74" s="60"/>
    </row>
    <row r="75" spans="1:4" ht="63" x14ac:dyDescent="0.25">
      <c r="A75" s="213" t="s">
        <v>326</v>
      </c>
      <c r="B75" s="121">
        <f>SUM(B76:B76)</f>
        <v>57066.742817050421</v>
      </c>
      <c r="C75" s="73"/>
      <c r="D75" s="60"/>
    </row>
    <row r="76" spans="1:4" ht="15.75" x14ac:dyDescent="0.25">
      <c r="A76" s="74" t="s">
        <v>295</v>
      </c>
      <c r="B76" s="11">
        <f>'[1]34ОЭР'!D167*1.1194*1.0952</f>
        <v>57066.742817050421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49969.156365403665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'[1]34тарифы'!D170*B15*1.1194*1.0952</f>
        <v>40468.670909347406</v>
      </c>
      <c r="C78" s="63"/>
      <c r="D78" s="60"/>
    </row>
    <row r="79" spans="1:4" ht="16.5" hidden="1" thickBot="1" x14ac:dyDescent="0.3">
      <c r="A79" s="35" t="s">
        <v>298</v>
      </c>
      <c r="B79" s="11">
        <f>(B26/1.2)*30%</f>
        <v>0</v>
      </c>
      <c r="C79" s="65"/>
      <c r="D79" s="73"/>
    </row>
    <row r="80" spans="1:4" ht="15.75" x14ac:dyDescent="0.25">
      <c r="A80" s="83" t="s">
        <v>328</v>
      </c>
      <c r="B80" s="11">
        <f>3196.75+2617.71</f>
        <v>5814.46</v>
      </c>
      <c r="C80" s="81"/>
      <c r="D80" s="60"/>
    </row>
    <row r="81" spans="1:4" ht="15.75" x14ac:dyDescent="0.25">
      <c r="A81" s="83" t="s">
        <v>329</v>
      </c>
      <c r="B81" s="11">
        <f>'[1]34тарифы'!D173*B13*1.1194*1.0952</f>
        <v>3686.0254560562616</v>
      </c>
      <c r="C81" s="73"/>
      <c r="D81" s="60"/>
    </row>
    <row r="82" spans="1:4" ht="15.75" x14ac:dyDescent="0.25">
      <c r="A82" s="214" t="s">
        <v>301</v>
      </c>
      <c r="B82" s="14">
        <f>B32+B42+B46+B66+B75+B77</f>
        <v>417602.48388749029</v>
      </c>
      <c r="C82" s="73"/>
      <c r="D82" s="60"/>
    </row>
    <row r="83" spans="1:4" ht="15.75" x14ac:dyDescent="0.25">
      <c r="A83" s="215" t="s">
        <v>302</v>
      </c>
      <c r="B83" s="11">
        <f>B82*0.03</f>
        <v>12528.074516624709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430130.55840411503</v>
      </c>
      <c r="C84" s="73"/>
      <c r="D84" s="60"/>
    </row>
    <row r="85" spans="1:4" ht="16.5" thickBot="1" x14ac:dyDescent="0.3">
      <c r="A85" s="217" t="s">
        <v>304</v>
      </c>
      <c r="B85" s="142">
        <f>B84*0.2</f>
        <v>86026.111680823014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516156.67008493806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-453391.77008493803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30000000}">
    <filterColumn colId="1">
      <filters blank="1">
        <filter val="10 103,56"/>
        <filter val="11 726,35"/>
        <filter val="116 151,44"/>
        <filter val="12 528,07"/>
        <filter val="124,52"/>
        <filter val="14 349,57"/>
        <filter val="18 773,87"/>
        <filter val="2 068,07"/>
        <filter val="2 692,56"/>
        <filter val="27 083,99"/>
        <filter val="28 580,52"/>
        <filter val="29 904,55"/>
        <filter val="3 269,64"/>
        <filter val="3 383,86"/>
        <filter val="3 686,03"/>
        <filter val="32 162,64"/>
        <filter val="4 896,13"/>
        <filter val="40 468,67"/>
        <filter val="417 602,48"/>
        <filter val="42 640,35"/>
        <filter val="430 130,56"/>
        <filter val="-453 391,77"/>
        <filter val="47 283,58"/>
        <filter val="47 392,75"/>
        <filter val="49 969,16"/>
        <filter val="5 814,46"/>
        <filter val="516 156,67"/>
        <filter val="57 066,74"/>
        <filter val="66 037,60"/>
        <filter val="7 751,41"/>
        <filter val="8 541,29"/>
        <filter val="86 026,11"/>
        <filter val="96 214,9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pageSetUpPr fitToPage="1"/>
  </sheetPr>
  <dimension ref="A1:G93"/>
  <sheetViews>
    <sheetView tabSelected="1" view="pageBreakPreview" topLeftCell="A75" zoomScale="80" zoomScaleNormal="100" zoomScaleSheetLayoutView="80" workbookViewId="0">
      <selection activeCell="B86" sqref="B86"/>
    </sheetView>
  </sheetViews>
  <sheetFormatPr defaultRowHeight="15.75" x14ac:dyDescent="0.25"/>
  <cols>
    <col min="1" max="1" width="91.5703125" style="3" customWidth="1"/>
    <col min="2" max="2" width="15" style="3" customWidth="1"/>
    <col min="3" max="4" width="13.85546875" style="3" customWidth="1"/>
    <col min="5" max="5" width="14.140625" style="3" customWidth="1"/>
    <col min="6" max="6" width="13.85546875" style="3" customWidth="1"/>
    <col min="7" max="7" width="14" style="3" customWidth="1"/>
    <col min="8" max="16384" width="9.140625" style="3"/>
  </cols>
  <sheetData>
    <row r="1" spans="1:4" ht="16.5" customHeight="1" x14ac:dyDescent="0.25">
      <c r="A1" s="269" t="s">
        <v>224</v>
      </c>
      <c r="B1" s="269"/>
    </row>
    <row r="2" spans="1:4" ht="16.5" x14ac:dyDescent="0.25">
      <c r="A2" s="270" t="s">
        <v>225</v>
      </c>
      <c r="B2" s="270"/>
    </row>
    <row r="3" spans="1:4" ht="16.5" x14ac:dyDescent="0.25">
      <c r="A3" s="270" t="s">
        <v>226</v>
      </c>
      <c r="B3" s="270"/>
    </row>
    <row r="4" spans="1:4" x14ac:dyDescent="0.25">
      <c r="A4" s="184" t="s">
        <v>494</v>
      </c>
      <c r="B4" s="184"/>
    </row>
    <row r="5" spans="1:4" x14ac:dyDescent="0.25">
      <c r="A5" s="184" t="s">
        <v>4</v>
      </c>
      <c r="B5" s="185"/>
    </row>
    <row r="6" spans="1:4" ht="5.25" customHeight="1" x14ac:dyDescent="0.25">
      <c r="A6" s="184"/>
      <c r="B6" s="4"/>
      <c r="C6" s="4"/>
    </row>
    <row r="7" spans="1:4" ht="16.5" thickBot="1" x14ac:dyDescent="0.3">
      <c r="A7" s="186"/>
      <c r="B7" s="4"/>
      <c r="C7" s="4"/>
    </row>
    <row r="8" spans="1:4" ht="15.75" customHeight="1" x14ac:dyDescent="0.25">
      <c r="A8" s="271" t="s">
        <v>227</v>
      </c>
      <c r="B8" s="273" t="s">
        <v>228</v>
      </c>
      <c r="C8" s="265" t="s">
        <v>229</v>
      </c>
      <c r="D8" s="265" t="s">
        <v>230</v>
      </c>
    </row>
    <row r="9" spans="1:4" ht="16.5" thickBot="1" x14ac:dyDescent="0.3">
      <c r="A9" s="272"/>
      <c r="B9" s="274"/>
      <c r="C9" s="266"/>
      <c r="D9" s="266"/>
    </row>
    <row r="10" spans="1:4" ht="16.5" thickBot="1" x14ac:dyDescent="0.3">
      <c r="A10" s="187" t="s">
        <v>231</v>
      </c>
      <c r="B10" s="188">
        <f>VLOOKUP(A5,мкд!S:T,2,FALSE)</f>
        <v>481277.43</v>
      </c>
      <c r="C10" s="189"/>
      <c r="D10" s="189"/>
    </row>
    <row r="11" spans="1:4" ht="16.5" hidden="1" thickBot="1" x14ac:dyDescent="0.3">
      <c r="A11" s="190" t="s">
        <v>232</v>
      </c>
      <c r="B11" s="188"/>
      <c r="C11" s="191"/>
      <c r="D11" s="191"/>
    </row>
    <row r="12" spans="1:4" x14ac:dyDescent="0.25">
      <c r="A12" s="192" t="s">
        <v>233</v>
      </c>
      <c r="B12" s="193"/>
      <c r="C12" s="5" t="s">
        <v>234</v>
      </c>
      <c r="D12" s="6" t="s">
        <v>234</v>
      </c>
    </row>
    <row r="13" spans="1:4" hidden="1" x14ac:dyDescent="0.25">
      <c r="A13" s="7" t="s">
        <v>235</v>
      </c>
      <c r="B13" s="8">
        <v>1964.4</v>
      </c>
      <c r="C13" s="9" t="s">
        <v>234</v>
      </c>
      <c r="D13" s="10" t="s">
        <v>234</v>
      </c>
    </row>
    <row r="14" spans="1:4" hidden="1" x14ac:dyDescent="0.25">
      <c r="A14" s="7" t="s">
        <v>236</v>
      </c>
      <c r="B14" s="8">
        <v>0</v>
      </c>
      <c r="C14" s="9"/>
      <c r="D14" s="10"/>
    </row>
    <row r="15" spans="1:4" hidden="1" x14ac:dyDescent="0.25">
      <c r="A15" s="7" t="s">
        <v>237</v>
      </c>
      <c r="B15" s="8">
        <f>B13+B14</f>
        <v>1964.4</v>
      </c>
      <c r="C15" s="9"/>
      <c r="D15" s="10"/>
    </row>
    <row r="16" spans="1:4" hidden="1" x14ac:dyDescent="0.25">
      <c r="A16" s="7" t="s">
        <v>238</v>
      </c>
      <c r="B16" s="8">
        <f>2077.1+1922.7/3</f>
        <v>2718</v>
      </c>
      <c r="C16" s="9" t="s">
        <v>234</v>
      </c>
      <c r="D16" s="10" t="s">
        <v>234</v>
      </c>
    </row>
    <row r="17" spans="1:7" hidden="1" x14ac:dyDescent="0.25">
      <c r="A17" s="7" t="s">
        <v>239</v>
      </c>
      <c r="B17" s="8">
        <v>0</v>
      </c>
      <c r="C17" s="9" t="s">
        <v>234</v>
      </c>
      <c r="D17" s="10" t="s">
        <v>234</v>
      </c>
    </row>
    <row r="18" spans="1:7" hidden="1" x14ac:dyDescent="0.25">
      <c r="A18" s="7" t="s">
        <v>240</v>
      </c>
      <c r="B18" s="8">
        <v>28.4</v>
      </c>
      <c r="C18" s="9" t="s">
        <v>234</v>
      </c>
      <c r="D18" s="10" t="s">
        <v>234</v>
      </c>
    </row>
    <row r="19" spans="1:7" hidden="1" x14ac:dyDescent="0.25">
      <c r="A19" s="7" t="s">
        <v>241</v>
      </c>
      <c r="B19" s="8">
        <v>0</v>
      </c>
      <c r="C19" s="9" t="s">
        <v>234</v>
      </c>
      <c r="D19" s="10" t="s">
        <v>234</v>
      </c>
    </row>
    <row r="20" spans="1:7" hidden="1" x14ac:dyDescent="0.25">
      <c r="A20" s="7" t="s">
        <v>242</v>
      </c>
      <c r="B20" s="8">
        <v>1144.3</v>
      </c>
      <c r="C20" s="9"/>
      <c r="D20" s="10"/>
    </row>
    <row r="21" spans="1:7" hidden="1" x14ac:dyDescent="0.25">
      <c r="A21" s="7" t="s">
        <v>243</v>
      </c>
      <c r="B21" s="8">
        <v>0</v>
      </c>
      <c r="C21" s="9" t="s">
        <v>234</v>
      </c>
      <c r="D21" s="10" t="s">
        <v>234</v>
      </c>
    </row>
    <row r="22" spans="1:7" hidden="1" x14ac:dyDescent="0.25">
      <c r="A22" s="7" t="s">
        <v>244</v>
      </c>
      <c r="B22" s="8">
        <v>97</v>
      </c>
      <c r="C22" s="9"/>
      <c r="D22" s="10"/>
    </row>
    <row r="23" spans="1:7" x14ac:dyDescent="0.25">
      <c r="A23" s="7"/>
      <c r="B23" s="11"/>
      <c r="C23" s="9"/>
      <c r="D23" s="10"/>
      <c r="E23" s="3">
        <v>12</v>
      </c>
    </row>
    <row r="24" spans="1:7" x14ac:dyDescent="0.25">
      <c r="A24" s="257" t="s">
        <v>245</v>
      </c>
      <c r="B24" s="255">
        <f>VLOOKUP(A5,мкд!W:X,2,FALSE)</f>
        <v>485363.88</v>
      </c>
      <c r="C24" s="9"/>
      <c r="D24" s="10"/>
      <c r="E24" s="194">
        <v>20.59</v>
      </c>
    </row>
    <row r="25" spans="1:7" x14ac:dyDescent="0.25">
      <c r="A25" s="12" t="s">
        <v>246</v>
      </c>
      <c r="B25" s="14">
        <f>VLOOKUP(A5,мкд!W:Y,3,FALSE)</f>
        <v>502678.25</v>
      </c>
      <c r="C25" s="9"/>
      <c r="D25" s="10"/>
    </row>
    <row r="26" spans="1:7" hidden="1" x14ac:dyDescent="0.25">
      <c r="A26" s="12" t="s">
        <v>247</v>
      </c>
      <c r="B26" s="13"/>
      <c r="C26" s="9"/>
      <c r="D26" s="10"/>
    </row>
    <row r="27" spans="1:7" hidden="1" x14ac:dyDescent="0.25">
      <c r="A27" s="12" t="s">
        <v>248</v>
      </c>
      <c r="B27" s="13">
        <f>B26</f>
        <v>0</v>
      </c>
      <c r="C27" s="9"/>
      <c r="D27" s="10"/>
    </row>
    <row r="28" spans="1:7" x14ac:dyDescent="0.25">
      <c r="A28" s="12" t="s">
        <v>249</v>
      </c>
      <c r="B28" s="14">
        <v>1510.2</v>
      </c>
      <c r="C28" s="9"/>
      <c r="D28" s="10"/>
    </row>
    <row r="29" spans="1:7" hidden="1" x14ac:dyDescent="0.25">
      <c r="A29" s="12" t="s">
        <v>250</v>
      </c>
      <c r="B29" s="8"/>
      <c r="C29" s="9"/>
      <c r="D29" s="10"/>
    </row>
    <row r="30" spans="1:7" x14ac:dyDescent="0.25">
      <c r="A30" s="196"/>
      <c r="B30" s="11"/>
      <c r="C30" s="9"/>
      <c r="D30" s="10"/>
    </row>
    <row r="31" spans="1:7" x14ac:dyDescent="0.25">
      <c r="A31" s="197" t="s">
        <v>251</v>
      </c>
      <c r="B31" s="11"/>
      <c r="C31" s="9"/>
      <c r="D31" s="10"/>
    </row>
    <row r="32" spans="1:7" s="18" customFormat="1" ht="31.5" x14ac:dyDescent="0.25">
      <c r="A32" s="15" t="s">
        <v>252</v>
      </c>
      <c r="B32" s="121">
        <f>SUM(B33:B41)</f>
        <v>47524.975999999995</v>
      </c>
      <c r="C32" s="9"/>
      <c r="D32" s="10"/>
      <c r="E32" s="17">
        <f>(B24-B85)/1.2/1.03</f>
        <v>-116335.77435598911</v>
      </c>
      <c r="F32" s="17" t="e">
        <f>(#REF!-#REF!)/1.2/1.03</f>
        <v>#REF!</v>
      </c>
      <c r="G32" s="17" t="e">
        <f>(#REF!-#REF!)/1.2/1.03</f>
        <v>#REF!</v>
      </c>
    </row>
    <row r="33" spans="1:7" x14ac:dyDescent="0.25">
      <c r="A33" s="19" t="s">
        <v>253</v>
      </c>
      <c r="B33" s="11">
        <f>12563*1.952</f>
        <v>24522.975999999999</v>
      </c>
      <c r="C33" s="9"/>
      <c r="D33" s="10">
        <v>0</v>
      </c>
    </row>
    <row r="34" spans="1:7" hidden="1" x14ac:dyDescent="0.25">
      <c r="A34" s="19" t="s">
        <v>254</v>
      </c>
      <c r="B34" s="11">
        <v>0</v>
      </c>
      <c r="C34" s="9"/>
      <c r="D34" s="10">
        <v>0</v>
      </c>
    </row>
    <row r="35" spans="1:7" hidden="1" x14ac:dyDescent="0.25">
      <c r="A35" s="19" t="s">
        <v>255</v>
      </c>
      <c r="B35" s="8"/>
      <c r="C35" s="9"/>
      <c r="D35" s="10">
        <v>0</v>
      </c>
    </row>
    <row r="36" spans="1:7" x14ac:dyDescent="0.25">
      <c r="A36" s="20" t="s">
        <v>335</v>
      </c>
      <c r="B36" s="21">
        <v>23002</v>
      </c>
      <c r="C36" s="9" t="s">
        <v>234</v>
      </c>
      <c r="D36" s="10">
        <v>0</v>
      </c>
    </row>
    <row r="37" spans="1:7" hidden="1" x14ac:dyDescent="0.25">
      <c r="A37" s="19" t="s">
        <v>257</v>
      </c>
      <c r="B37" s="11"/>
      <c r="C37" s="9"/>
      <c r="D37" s="10">
        <v>0</v>
      </c>
    </row>
    <row r="38" spans="1:7" hidden="1" x14ac:dyDescent="0.25">
      <c r="A38" s="19" t="s">
        <v>258</v>
      </c>
      <c r="B38" s="11">
        <v>0</v>
      </c>
      <c r="C38" s="9"/>
      <c r="D38" s="10">
        <v>0</v>
      </c>
    </row>
    <row r="39" spans="1:7" hidden="1" x14ac:dyDescent="0.25">
      <c r="A39" s="19" t="s">
        <v>259</v>
      </c>
      <c r="B39" s="11">
        <v>0</v>
      </c>
      <c r="C39" s="9"/>
      <c r="D39" s="10">
        <v>0</v>
      </c>
    </row>
    <row r="40" spans="1:7" hidden="1" x14ac:dyDescent="0.25">
      <c r="A40" s="19" t="s">
        <v>310</v>
      </c>
      <c r="B40" s="11">
        <v>0</v>
      </c>
      <c r="C40" s="9"/>
      <c r="D40" s="10"/>
    </row>
    <row r="41" spans="1:7" hidden="1" x14ac:dyDescent="0.25">
      <c r="A41" s="19" t="s">
        <v>253</v>
      </c>
      <c r="B41" s="22"/>
      <c r="C41" s="9"/>
      <c r="D41" s="10"/>
    </row>
    <row r="42" spans="1:7" s="18" customFormat="1" ht="47.25" x14ac:dyDescent="0.25">
      <c r="A42" s="15" t="s">
        <v>261</v>
      </c>
      <c r="B42" s="121">
        <f>SUM(B43:B45)</f>
        <v>30934.919199999997</v>
      </c>
      <c r="C42" s="9"/>
      <c r="D42" s="10"/>
      <c r="E42" s="17"/>
      <c r="F42" s="17"/>
      <c r="G42" s="17"/>
    </row>
    <row r="43" spans="1:7" x14ac:dyDescent="0.25">
      <c r="A43" s="19" t="s">
        <v>262</v>
      </c>
      <c r="B43" s="11">
        <v>7344.23</v>
      </c>
      <c r="C43" s="23"/>
      <c r="D43" s="24"/>
    </row>
    <row r="44" spans="1:7" ht="16.5" x14ac:dyDescent="0.25">
      <c r="A44" s="19" t="s">
        <v>263</v>
      </c>
      <c r="B44" s="171">
        <v>10096.73</v>
      </c>
      <c r="C44" s="23"/>
      <c r="D44" s="24"/>
    </row>
    <row r="45" spans="1:7" x14ac:dyDescent="0.25">
      <c r="A45" s="25" t="s">
        <v>264</v>
      </c>
      <c r="B45" s="11">
        <f>12321*1.0952</f>
        <v>13493.959199999999</v>
      </c>
      <c r="C45" s="23"/>
      <c r="D45" s="24"/>
    </row>
    <row r="46" spans="1:7" s="4" customFormat="1" x14ac:dyDescent="0.25">
      <c r="A46" s="15" t="s">
        <v>265</v>
      </c>
      <c r="B46" s="121">
        <f>SUM(B47:B64)</f>
        <v>41580.519999999997</v>
      </c>
      <c r="C46" s="9"/>
      <c r="D46" s="10"/>
    </row>
    <row r="47" spans="1:7" x14ac:dyDescent="0.25">
      <c r="A47" s="19" t="s">
        <v>266</v>
      </c>
      <c r="B47" s="11">
        <v>119.28</v>
      </c>
      <c r="C47" s="9"/>
      <c r="D47" s="10"/>
      <c r="E47" s="3" t="s">
        <v>267</v>
      </c>
    </row>
    <row r="48" spans="1:7" hidden="1" x14ac:dyDescent="0.25">
      <c r="A48" s="19" t="s">
        <v>268</v>
      </c>
      <c r="B48" s="11">
        <v>0</v>
      </c>
      <c r="C48" s="9"/>
      <c r="D48" s="10"/>
      <c r="E48" s="3" t="s">
        <v>269</v>
      </c>
    </row>
    <row r="49" spans="1:5" hidden="1" x14ac:dyDescent="0.25">
      <c r="A49" s="26" t="s">
        <v>270</v>
      </c>
      <c r="B49" s="27">
        <v>0</v>
      </c>
      <c r="C49" s="9"/>
      <c r="D49" s="10"/>
    </row>
    <row r="50" spans="1:5" hidden="1" x14ac:dyDescent="0.25">
      <c r="A50" s="26" t="s">
        <v>271</v>
      </c>
      <c r="B50" s="27">
        <v>0</v>
      </c>
      <c r="C50" s="9"/>
      <c r="D50" s="10"/>
    </row>
    <row r="51" spans="1:5" hidden="1" x14ac:dyDescent="0.25">
      <c r="A51" s="26" t="s">
        <v>272</v>
      </c>
      <c r="B51" s="27">
        <v>0</v>
      </c>
      <c r="C51" s="9"/>
      <c r="D51" s="10"/>
    </row>
    <row r="52" spans="1:5" x14ac:dyDescent="0.25">
      <c r="A52" s="26" t="s">
        <v>281</v>
      </c>
      <c r="B52" s="27">
        <v>761.71</v>
      </c>
      <c r="C52" s="9"/>
      <c r="D52" s="10"/>
    </row>
    <row r="53" spans="1:5" hidden="1" x14ac:dyDescent="0.25">
      <c r="A53" s="26" t="s">
        <v>274</v>
      </c>
      <c r="B53" s="8">
        <v>0</v>
      </c>
      <c r="C53" s="9">
        <v>0</v>
      </c>
      <c r="D53" s="10">
        <v>522.99</v>
      </c>
    </row>
    <row r="54" spans="1:5" hidden="1" x14ac:dyDescent="0.25">
      <c r="A54" s="26" t="s">
        <v>275</v>
      </c>
      <c r="B54" s="8">
        <v>0</v>
      </c>
      <c r="C54" s="9"/>
      <c r="D54" s="28"/>
    </row>
    <row r="55" spans="1:5" hidden="1" x14ac:dyDescent="0.25">
      <c r="A55" s="26" t="s">
        <v>276</v>
      </c>
      <c r="B55" s="8">
        <v>0</v>
      </c>
      <c r="C55" s="9"/>
      <c r="D55" s="28"/>
    </row>
    <row r="56" spans="1:5" hidden="1" x14ac:dyDescent="0.25">
      <c r="A56" s="26" t="s">
        <v>277</v>
      </c>
      <c r="B56" s="8">
        <v>0</v>
      </c>
      <c r="C56" s="9">
        <v>0</v>
      </c>
      <c r="D56" s="10">
        <f>10695.76/1.18</f>
        <v>9064.203389830509</v>
      </c>
    </row>
    <row r="57" spans="1:5" hidden="1" x14ac:dyDescent="0.25">
      <c r="A57" s="26" t="s">
        <v>312</v>
      </c>
      <c r="B57" s="11">
        <v>0</v>
      </c>
      <c r="C57" s="9">
        <v>0</v>
      </c>
      <c r="D57" s="10">
        <f>2300/1.18</f>
        <v>1949.1525423728815</v>
      </c>
    </row>
    <row r="58" spans="1:5" x14ac:dyDescent="0.25">
      <c r="A58" s="26" t="s">
        <v>268</v>
      </c>
      <c r="B58" s="8">
        <v>144.84</v>
      </c>
      <c r="C58" s="9">
        <v>0</v>
      </c>
      <c r="D58" s="10">
        <v>0</v>
      </c>
    </row>
    <row r="59" spans="1:5" hidden="1" x14ac:dyDescent="0.25">
      <c r="A59" s="19" t="s">
        <v>279</v>
      </c>
      <c r="B59" s="8">
        <v>0</v>
      </c>
      <c r="C59" s="9"/>
      <c r="D59" s="10"/>
    </row>
    <row r="60" spans="1:5" x14ac:dyDescent="0.25">
      <c r="A60" s="19" t="s">
        <v>314</v>
      </c>
      <c r="B60" s="8">
        <v>15253.919999999998</v>
      </c>
      <c r="C60" s="9"/>
      <c r="D60" s="10">
        <v>0</v>
      </c>
    </row>
    <row r="61" spans="1:5" hidden="1" x14ac:dyDescent="0.25">
      <c r="A61" s="19" t="s">
        <v>316</v>
      </c>
      <c r="B61" s="8"/>
      <c r="C61" s="9"/>
      <c r="D61" s="10">
        <v>0</v>
      </c>
    </row>
    <row r="62" spans="1:5" x14ac:dyDescent="0.25">
      <c r="A62" s="19" t="s">
        <v>282</v>
      </c>
      <c r="B62" s="31">
        <v>25300.77</v>
      </c>
      <c r="C62" s="30">
        <v>1</v>
      </c>
      <c r="D62" s="10">
        <v>0</v>
      </c>
    </row>
    <row r="63" spans="1:5" hidden="1" x14ac:dyDescent="0.25">
      <c r="A63" s="19" t="s">
        <v>283</v>
      </c>
      <c r="B63" s="31">
        <v>0</v>
      </c>
      <c r="C63" s="30">
        <v>48</v>
      </c>
      <c r="D63" s="10">
        <v>1</v>
      </c>
      <c r="E63" s="3">
        <v>1</v>
      </c>
    </row>
    <row r="64" spans="1:5" hidden="1" x14ac:dyDescent="0.25">
      <c r="A64" s="19" t="s">
        <v>284</v>
      </c>
      <c r="B64" s="31">
        <v>0</v>
      </c>
      <c r="C64" s="32"/>
      <c r="D64" s="24">
        <v>0</v>
      </c>
    </row>
    <row r="65" spans="1:4" s="4" customFormat="1" x14ac:dyDescent="0.25">
      <c r="A65" s="33" t="s">
        <v>285</v>
      </c>
      <c r="B65" s="121">
        <f>SUM(B66:B73)</f>
        <v>223204.87245696003</v>
      </c>
      <c r="C65" s="23"/>
      <c r="D65" s="24"/>
    </row>
    <row r="66" spans="1:4" hidden="1" x14ac:dyDescent="0.25">
      <c r="A66" s="19" t="s">
        <v>286</v>
      </c>
      <c r="B66" s="11">
        <v>0</v>
      </c>
      <c r="C66" s="23"/>
      <c r="D66" s="24"/>
    </row>
    <row r="67" spans="1:4" x14ac:dyDescent="0.25">
      <c r="A67" s="19" t="s">
        <v>287</v>
      </c>
      <c r="B67" s="8">
        <f>105328*1.04*1.12*1.01*1.09</f>
        <v>135065.07728896002</v>
      </c>
      <c r="C67" s="23"/>
      <c r="D67" s="24"/>
    </row>
    <row r="68" spans="1:4" hidden="1" x14ac:dyDescent="0.25">
      <c r="A68" s="19" t="s">
        <v>288</v>
      </c>
      <c r="B68" s="11">
        <v>0</v>
      </c>
      <c r="C68" s="23"/>
      <c r="D68" s="24"/>
    </row>
    <row r="69" spans="1:4" x14ac:dyDescent="0.25">
      <c r="A69" s="25" t="s">
        <v>289</v>
      </c>
      <c r="B69" s="8">
        <f>1.35*B15</f>
        <v>2651.9400000000005</v>
      </c>
      <c r="C69" s="23"/>
      <c r="D69" s="24"/>
    </row>
    <row r="70" spans="1:4" x14ac:dyDescent="0.25">
      <c r="A70" s="25" t="s">
        <v>290</v>
      </c>
      <c r="B70" s="11">
        <f>5.06*B15</f>
        <v>9939.8639999999996</v>
      </c>
      <c r="C70" s="23"/>
      <c r="D70" s="24"/>
    </row>
    <row r="71" spans="1:4" x14ac:dyDescent="0.25">
      <c r="A71" s="25" t="s">
        <v>291</v>
      </c>
      <c r="B71" s="11">
        <f>17.68*B15</f>
        <v>34730.592000000004</v>
      </c>
      <c r="C71" s="23"/>
      <c r="D71" s="24"/>
    </row>
    <row r="72" spans="1:4" x14ac:dyDescent="0.25">
      <c r="A72" s="25" t="s">
        <v>292</v>
      </c>
      <c r="B72" s="11">
        <f>3404*1.04*1.12*1.09</f>
        <v>4321.8273280000012</v>
      </c>
      <c r="C72" s="23"/>
      <c r="D72" s="24"/>
    </row>
    <row r="73" spans="1:4" x14ac:dyDescent="0.25">
      <c r="A73" s="25" t="s">
        <v>293</v>
      </c>
      <c r="B73" s="11">
        <f>28745*1.04*1.12*1.09</f>
        <v>36495.571840000004</v>
      </c>
      <c r="C73" s="23"/>
      <c r="D73" s="24"/>
    </row>
    <row r="74" spans="1:4" ht="63" x14ac:dyDescent="0.25">
      <c r="A74" s="34" t="s">
        <v>294</v>
      </c>
      <c r="B74" s="121">
        <f>SUM(B75:B75)</f>
        <v>102082.86</v>
      </c>
      <c r="C74" s="23"/>
      <c r="D74" s="24"/>
    </row>
    <row r="75" spans="1:4" x14ac:dyDescent="0.25">
      <c r="A75" s="25" t="s">
        <v>295</v>
      </c>
      <c r="B75" s="11">
        <f>93654*1.09</f>
        <v>102082.86</v>
      </c>
      <c r="C75" s="23"/>
      <c r="D75" s="24"/>
    </row>
    <row r="76" spans="1:4" s="4" customFormat="1" x14ac:dyDescent="0.25">
      <c r="A76" s="33" t="s">
        <v>296</v>
      </c>
      <c r="B76" s="121">
        <f>SUM(B77:B80)</f>
        <v>63696.850000000006</v>
      </c>
      <c r="C76" s="23"/>
      <c r="D76" s="24"/>
    </row>
    <row r="77" spans="1:4" x14ac:dyDescent="0.25">
      <c r="A77" s="35" t="s">
        <v>297</v>
      </c>
      <c r="B77" s="11">
        <f>43621*1.09</f>
        <v>47546.890000000007</v>
      </c>
      <c r="C77" s="23"/>
      <c r="D77" s="24"/>
    </row>
    <row r="78" spans="1:4" hidden="1" x14ac:dyDescent="0.25">
      <c r="A78" s="35" t="s">
        <v>298</v>
      </c>
      <c r="B78" s="11">
        <f>(B26/1.2)*30%</f>
        <v>0</v>
      </c>
      <c r="C78" s="23"/>
      <c r="D78" s="24"/>
    </row>
    <row r="79" spans="1:4" x14ac:dyDescent="0.25">
      <c r="A79" s="36" t="s">
        <v>299</v>
      </c>
      <c r="B79" s="8">
        <f>6410.38+5411.38</f>
        <v>11821.76</v>
      </c>
      <c r="C79" s="23"/>
      <c r="D79" s="24"/>
    </row>
    <row r="80" spans="1:4" x14ac:dyDescent="0.25">
      <c r="A80" s="36" t="s">
        <v>300</v>
      </c>
      <c r="B80" s="11">
        <f>4556*0.95</f>
        <v>4328.2</v>
      </c>
      <c r="C80" s="23"/>
      <c r="D80" s="24"/>
    </row>
    <row r="81" spans="1:4" x14ac:dyDescent="0.25">
      <c r="A81" s="37" t="s">
        <v>301</v>
      </c>
      <c r="B81" s="14">
        <f>B32+B42+B46+B65+B74+B76</f>
        <v>509024.99765696004</v>
      </c>
      <c r="C81" s="23"/>
      <c r="D81" s="24"/>
    </row>
    <row r="82" spans="1:4" x14ac:dyDescent="0.25">
      <c r="A82" s="199" t="s">
        <v>302</v>
      </c>
      <c r="B82" s="11">
        <f>B81*0.03</f>
        <v>15270.7499297088</v>
      </c>
      <c r="C82" s="23"/>
      <c r="D82" s="24"/>
    </row>
    <row r="83" spans="1:4" s="18" customFormat="1" x14ac:dyDescent="0.25">
      <c r="A83" s="176" t="s">
        <v>303</v>
      </c>
      <c r="B83" s="121">
        <f>B81+B82</f>
        <v>524295.74758666882</v>
      </c>
      <c r="C83" s="23"/>
      <c r="D83" s="24"/>
    </row>
    <row r="84" spans="1:4" ht="16.5" thickBot="1" x14ac:dyDescent="0.3">
      <c r="A84" s="177" t="s">
        <v>304</v>
      </c>
      <c r="B84" s="142">
        <f>B83*0.2</f>
        <v>104859.14951733378</v>
      </c>
      <c r="C84" s="23"/>
      <c r="D84" s="24"/>
    </row>
    <row r="85" spans="1:4" s="4" customFormat="1" ht="16.5" thickBot="1" x14ac:dyDescent="0.3">
      <c r="A85" s="38" t="s">
        <v>305</v>
      </c>
      <c r="B85" s="46">
        <f>B83+B84</f>
        <v>629154.89710400254</v>
      </c>
      <c r="C85" s="40"/>
      <c r="D85" s="41"/>
    </row>
    <row r="86" spans="1:4" s="4" customFormat="1" ht="16.5" thickBot="1" x14ac:dyDescent="0.3">
      <c r="A86" s="42" t="s">
        <v>306</v>
      </c>
      <c r="B86" s="46">
        <f>B10+B24+B26+B28+B29-B85</f>
        <v>338996.61289599747</v>
      </c>
      <c r="C86" s="43"/>
      <c r="D86" s="43"/>
    </row>
    <row r="87" spans="1:4" s="4" customFormat="1" ht="16.5" hidden="1" thickBot="1" x14ac:dyDescent="0.3">
      <c r="A87" s="44" t="s">
        <v>307</v>
      </c>
      <c r="B87" s="46"/>
      <c r="C87" s="43"/>
      <c r="D87" s="43"/>
    </row>
    <row r="88" spans="1:4" s="4" customFormat="1" ht="16.5" hidden="1" thickBot="1" x14ac:dyDescent="0.3">
      <c r="A88" s="45" t="s">
        <v>308</v>
      </c>
      <c r="B88" s="39"/>
      <c r="C88" s="43"/>
      <c r="D88" s="43"/>
    </row>
    <row r="89" spans="1:4" s="4" customFormat="1" hidden="1" x14ac:dyDescent="0.25">
      <c r="A89" s="47"/>
      <c r="B89" s="48"/>
      <c r="C89" s="43"/>
      <c r="D89" s="43"/>
    </row>
    <row r="90" spans="1:4" x14ac:dyDescent="0.25">
      <c r="A90" s="49"/>
    </row>
    <row r="91" spans="1:4" x14ac:dyDescent="0.25">
      <c r="A91" s="267" t="s">
        <v>540</v>
      </c>
      <c r="B91" s="267"/>
    </row>
    <row r="92" spans="1:4" x14ac:dyDescent="0.25">
      <c r="A92" s="49"/>
      <c r="B92" s="51"/>
    </row>
    <row r="93" spans="1:4" x14ac:dyDescent="0.25">
      <c r="A93" s="268"/>
      <c r="B93" s="268"/>
      <c r="C93" s="51"/>
    </row>
  </sheetData>
  <autoFilter ref="A32:B88" xr:uid="{00000000-0009-0000-0000-000004000000}">
    <filterColumn colId="1">
      <filters>
        <filter val="10 096,73"/>
        <filter val="102 082,86"/>
        <filter val="104 859,15"/>
        <filter val="11 821,76"/>
        <filter val="119,28"/>
        <filter val="13 493,96"/>
        <filter val="135 065,08"/>
        <filter val="144,84"/>
        <filter val="15 253,92"/>
        <filter val="15 270,75"/>
        <filter val="2 651,94"/>
        <filter val="223 204,87"/>
        <filter val="23 002,00"/>
        <filter val="24 522,98"/>
        <filter val="25 300,77"/>
        <filter val="30 934,92"/>
        <filter val="338 996,61"/>
        <filter val="34 730,59"/>
        <filter val="36 495,57"/>
        <filter val="4 321,83"/>
        <filter val="4 328,20"/>
        <filter val="41 580,52"/>
        <filter val="47 546,89"/>
        <filter val="509 025,00"/>
        <filter val="524 295,75"/>
        <filter val="629 154,90"/>
        <filter val="63 696,85"/>
        <filter val="7 344,23"/>
        <filter val="761,71"/>
        <filter val="9 939,86"/>
      </filters>
    </filterColumn>
  </autoFilter>
  <mergeCells count="9">
    <mergeCell ref="D8:D9"/>
    <mergeCell ref="A91:B91"/>
    <mergeCell ref="A93:B93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82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filterMode="1">
    <pageSetUpPr fitToPage="1"/>
  </sheetPr>
  <dimension ref="A1:G95"/>
  <sheetViews>
    <sheetView view="pageBreakPreview" topLeftCell="A66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69"/>
      <c r="C1" s="54"/>
      <c r="D1" s="54"/>
    </row>
    <row r="2" spans="1:4" ht="16.5" x14ac:dyDescent="0.25">
      <c r="A2" s="281" t="s">
        <v>225</v>
      </c>
      <c r="B2" s="270"/>
      <c r="C2" s="54"/>
      <c r="D2" s="54"/>
    </row>
    <row r="3" spans="1:4" ht="16.5" x14ac:dyDescent="0.25">
      <c r="A3" s="281" t="s">
        <v>226</v>
      </c>
      <c r="B3" s="270"/>
      <c r="C3" s="54"/>
      <c r="D3" s="54"/>
    </row>
    <row r="4" spans="1:4" ht="15.75" x14ac:dyDescent="0.25">
      <c r="A4" s="201" t="s">
        <v>494</v>
      </c>
      <c r="B4" s="184"/>
      <c r="C4" s="54"/>
      <c r="D4" s="54"/>
    </row>
    <row r="5" spans="1:4" ht="15.75" x14ac:dyDescent="0.25">
      <c r="A5" s="201" t="s">
        <v>113</v>
      </c>
      <c r="B5" s="184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-1010279.47</v>
      </c>
      <c r="C10" s="205"/>
      <c r="D10" s="206"/>
    </row>
    <row r="11" spans="1:4" ht="16.5" hidden="1" thickBot="1" x14ac:dyDescent="0.25">
      <c r="A11" s="207" t="s">
        <v>232</v>
      </c>
      <c r="B11" s="239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1427.8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96.2</v>
      </c>
      <c r="C14" s="60"/>
      <c r="D14" s="59"/>
    </row>
    <row r="15" spans="1:4" ht="15.75" hidden="1" x14ac:dyDescent="0.25">
      <c r="A15" s="58" t="s">
        <v>237</v>
      </c>
      <c r="B15" s="11">
        <f>B13+B14</f>
        <v>1524</v>
      </c>
      <c r="C15" s="61"/>
      <c r="D15" s="62"/>
    </row>
    <row r="16" spans="1:4" ht="16.5" hidden="1" thickBot="1" x14ac:dyDescent="0.3">
      <c r="A16" s="58" t="s">
        <v>238</v>
      </c>
      <c r="B16" s="11">
        <f>1102.6+1011.3/3</f>
        <v>1439.6999999999998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98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98">
        <v>639.5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98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98">
        <v>826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98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98">
        <v>75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210122.78</v>
      </c>
      <c r="C24" s="59"/>
      <c r="D24" s="62"/>
      <c r="E24" s="194">
        <v>11.01</v>
      </c>
      <c r="F24" s="195">
        <v>12.324593999999999</v>
      </c>
      <c r="G24" s="54"/>
    </row>
    <row r="25" spans="1:7" ht="16.5" thickBot="1" x14ac:dyDescent="0.3">
      <c r="A25" s="64" t="s">
        <v>318</v>
      </c>
      <c r="B25" s="14">
        <f>VLOOKUP(A5,мкд!W:Y,3,FALSE)</f>
        <v>202635.64</v>
      </c>
      <c r="C25" s="63"/>
      <c r="D25" s="62"/>
      <c r="E25" s="54"/>
      <c r="F25" s="54"/>
      <c r="G25" s="54"/>
    </row>
    <row r="26" spans="1:7" ht="15.75" x14ac:dyDescent="0.25">
      <c r="A26" s="64" t="s">
        <v>348</v>
      </c>
      <c r="B26" s="14">
        <v>18802</v>
      </c>
      <c r="C26" s="57"/>
      <c r="D26" s="59"/>
      <c r="E26" s="54"/>
      <c r="F26" s="54"/>
      <c r="G26" s="54"/>
    </row>
    <row r="27" spans="1:7" ht="16.5" thickBot="1" x14ac:dyDescent="0.3">
      <c r="A27" s="64" t="s">
        <v>349</v>
      </c>
      <c r="B27" s="161">
        <v>10249.92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7459.44</v>
      </c>
      <c r="C28" s="56"/>
      <c r="D28" s="62"/>
      <c r="E28" s="54"/>
      <c r="F28" s="54"/>
      <c r="G28" s="54"/>
    </row>
    <row r="29" spans="1:7" ht="16.5" thickBot="1" x14ac:dyDescent="0.3">
      <c r="A29" s="64" t="s">
        <v>250</v>
      </c>
      <c r="B29" s="161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109489.3</v>
      </c>
      <c r="C32" s="59"/>
      <c r="D32" s="62"/>
      <c r="E32" s="67">
        <f>(B86-B26-B24)/1.2/1.03</f>
        <v>310435.03018616099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v>26484.28</v>
      </c>
      <c r="C33" s="63"/>
      <c r="D33" s="62">
        <v>11459.9</v>
      </c>
      <c r="E33" s="54"/>
      <c r="F33" s="54"/>
      <c r="G33" s="54"/>
    </row>
    <row r="34" spans="1:7" ht="15.75" x14ac:dyDescent="0.25">
      <c r="A34" s="69" t="s">
        <v>320</v>
      </c>
      <c r="B34" s="168">
        <v>2832.09</v>
      </c>
      <c r="C34" s="57"/>
      <c r="D34" s="59">
        <v>0</v>
      </c>
      <c r="E34" s="54"/>
      <c r="F34" s="54"/>
      <c r="G34" s="54"/>
    </row>
    <row r="35" spans="1:7" ht="15.75" x14ac:dyDescent="0.25">
      <c r="A35" s="69" t="s">
        <v>256</v>
      </c>
      <c r="B35" s="11">
        <v>4896.13</v>
      </c>
      <c r="C35" s="62"/>
      <c r="D35" s="59">
        <v>0</v>
      </c>
      <c r="E35" s="54"/>
      <c r="F35" s="54"/>
      <c r="G35" s="54"/>
    </row>
    <row r="36" spans="1:7" ht="15.75" x14ac:dyDescent="0.25">
      <c r="A36" s="69" t="s">
        <v>255</v>
      </c>
      <c r="B36" s="11">
        <v>24510.050000000003</v>
      </c>
      <c r="C36" s="62" t="s">
        <v>234</v>
      </c>
      <c r="D36" s="59">
        <v>0</v>
      </c>
      <c r="E36" s="54"/>
      <c r="F36" s="54"/>
      <c r="G36" s="54"/>
    </row>
    <row r="37" spans="1:7" ht="15.75" x14ac:dyDescent="0.25">
      <c r="A37" s="69" t="s">
        <v>257</v>
      </c>
      <c r="B37" s="98">
        <v>3014.85</v>
      </c>
      <c r="C37" s="62"/>
      <c r="D37" s="59">
        <v>0</v>
      </c>
      <c r="E37" s="54"/>
      <c r="F37" s="54"/>
      <c r="G37" s="54"/>
    </row>
    <row r="38" spans="1:7" ht="15.75" hidden="1" x14ac:dyDescent="0.25">
      <c r="A38" s="69" t="s">
        <v>258</v>
      </c>
      <c r="B38" s="98">
        <v>0</v>
      </c>
      <c r="C38" s="62"/>
      <c r="D38" s="59">
        <v>0</v>
      </c>
      <c r="E38" s="54"/>
      <c r="F38" s="54"/>
      <c r="G38" s="54"/>
    </row>
    <row r="39" spans="1:7" ht="15.75" hidden="1" x14ac:dyDescent="0.25">
      <c r="A39" s="69" t="s">
        <v>322</v>
      </c>
      <c r="B39" s="98">
        <v>0</v>
      </c>
      <c r="C39" s="62"/>
      <c r="D39" s="59">
        <v>0</v>
      </c>
      <c r="E39" s="54"/>
      <c r="F39" s="54"/>
      <c r="G39" s="54"/>
    </row>
    <row r="40" spans="1:7" ht="15.75" hidden="1" x14ac:dyDescent="0.25">
      <c r="A40" s="69" t="s">
        <v>310</v>
      </c>
      <c r="B40" s="98">
        <v>0</v>
      </c>
      <c r="C40" s="62"/>
      <c r="D40" s="59"/>
      <c r="E40" s="54"/>
      <c r="F40" s="54"/>
      <c r="G40" s="54"/>
    </row>
    <row r="41" spans="1:7" ht="16.5" thickBot="1" x14ac:dyDescent="0.3">
      <c r="A41" s="69" t="s">
        <v>338</v>
      </c>
      <c r="B41" s="98">
        <v>47751.9</v>
      </c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100070.25383541184</v>
      </c>
      <c r="C42" s="56"/>
      <c r="D42" s="62"/>
      <c r="E42" s="67"/>
      <c r="F42" s="67"/>
      <c r="G42" s="67"/>
    </row>
    <row r="43" spans="1:7" ht="15.75" x14ac:dyDescent="0.25">
      <c r="A43" s="69" t="s">
        <v>262</v>
      </c>
      <c r="B43" s="11">
        <v>13437.420000000002</v>
      </c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76434.740000000005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('[1]34тарифы'!D163*B15+232.88)*1.1194*1.0952</f>
        <v>10198.093835411844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41438.959999999999</v>
      </c>
      <c r="C46" s="56"/>
      <c r="D46" s="62"/>
    </row>
    <row r="47" spans="1:7" ht="15.75" x14ac:dyDescent="0.25">
      <c r="A47" s="69" t="s">
        <v>324</v>
      </c>
      <c r="B47" s="162">
        <v>2685.96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62">
        <v>3261.48</v>
      </c>
      <c r="C48" s="62"/>
      <c r="D48" s="59"/>
      <c r="E48" s="54" t="s">
        <v>269</v>
      </c>
      <c r="F48" s="54"/>
      <c r="G48" s="54"/>
    </row>
    <row r="49" spans="1:5" ht="15.75" x14ac:dyDescent="0.25">
      <c r="A49" s="75" t="s">
        <v>520</v>
      </c>
      <c r="B49" s="98">
        <v>4200</v>
      </c>
      <c r="C49" s="62"/>
      <c r="D49" s="59"/>
      <c r="E49" s="54"/>
    </row>
    <row r="50" spans="1:5" ht="15.75" x14ac:dyDescent="0.25">
      <c r="A50" s="75" t="s">
        <v>281</v>
      </c>
      <c r="B50" s="98">
        <v>140.97999999999999</v>
      </c>
      <c r="C50" s="62"/>
      <c r="D50" s="59">
        <v>4190</v>
      </c>
      <c r="E50" s="54"/>
    </row>
    <row r="51" spans="1:5" ht="15.75" hidden="1" x14ac:dyDescent="0.25">
      <c r="A51" s="75" t="s">
        <v>272</v>
      </c>
      <c r="B51" s="98">
        <v>0</v>
      </c>
      <c r="C51" s="62"/>
      <c r="D51" s="59"/>
      <c r="E51" s="54"/>
    </row>
    <row r="52" spans="1:5" ht="15.75" hidden="1" x14ac:dyDescent="0.25">
      <c r="A52" s="75" t="s">
        <v>273</v>
      </c>
      <c r="B52" s="98">
        <f>B21*'[1]34тарифы'!D177</f>
        <v>0</v>
      </c>
      <c r="C52" s="62"/>
      <c r="D52" s="59">
        <v>105.14</v>
      </c>
      <c r="E52" s="54"/>
    </row>
    <row r="53" spans="1:5" ht="15.75" hidden="1" x14ac:dyDescent="0.25">
      <c r="A53" s="75" t="s">
        <v>274</v>
      </c>
      <c r="B53" s="98">
        <v>0</v>
      </c>
      <c r="C53" s="62">
        <v>0</v>
      </c>
      <c r="D53" s="59">
        <v>522.99</v>
      </c>
      <c r="E53" s="54"/>
    </row>
    <row r="54" spans="1:5" ht="15.75" x14ac:dyDescent="0.25">
      <c r="A54" s="95" t="s">
        <v>353</v>
      </c>
      <c r="B54" s="98">
        <v>8133.61</v>
      </c>
      <c r="C54" s="62">
        <v>0</v>
      </c>
      <c r="D54" s="76">
        <v>695.13</v>
      </c>
      <c r="E54" s="54"/>
    </row>
    <row r="55" spans="1:5" ht="15.75" hidden="1" x14ac:dyDescent="0.25">
      <c r="A55" s="75" t="s">
        <v>276</v>
      </c>
      <c r="B55" s="98">
        <v>0</v>
      </c>
      <c r="C55" s="62"/>
      <c r="D55" s="76"/>
      <c r="E55" s="54"/>
    </row>
    <row r="56" spans="1:5" ht="15.75" hidden="1" x14ac:dyDescent="0.25">
      <c r="A56" s="75" t="s">
        <v>277</v>
      </c>
      <c r="B56" s="98">
        <v>0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312</v>
      </c>
      <c r="B57" s="98">
        <v>0</v>
      </c>
      <c r="C57" s="62">
        <v>0</v>
      </c>
      <c r="D57" s="59">
        <f>2300/1.18</f>
        <v>1949.1525423728815</v>
      </c>
      <c r="E57" s="54"/>
    </row>
    <row r="58" spans="1:5" ht="15.75" hidden="1" x14ac:dyDescent="0.25">
      <c r="A58" s="75" t="s">
        <v>344</v>
      </c>
      <c r="B58" s="98"/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</row>
    <row r="60" spans="1:5" ht="15.75" hidden="1" x14ac:dyDescent="0.25">
      <c r="A60" s="69" t="s">
        <v>279</v>
      </c>
      <c r="B60" s="98">
        <v>0</v>
      </c>
      <c r="C60" s="57"/>
      <c r="D60" s="59"/>
      <c r="E60" s="54"/>
    </row>
    <row r="61" spans="1:5" ht="15.75" x14ac:dyDescent="0.25">
      <c r="A61" s="69" t="s">
        <v>518</v>
      </c>
      <c r="B61" s="162">
        <v>10532.17</v>
      </c>
      <c r="C61" s="62"/>
      <c r="D61" s="59">
        <v>0</v>
      </c>
      <c r="E61" s="54"/>
    </row>
    <row r="62" spans="1:5" ht="15.75" hidden="1" x14ac:dyDescent="0.25">
      <c r="A62" s="69" t="s">
        <v>343</v>
      </c>
      <c r="B62" s="11"/>
      <c r="C62" s="62"/>
      <c r="D62" s="59">
        <v>0</v>
      </c>
      <c r="E62" s="54"/>
    </row>
    <row r="63" spans="1:5" ht="16.5" thickBot="1" x14ac:dyDescent="0.3">
      <c r="A63" s="69" t="s">
        <v>337</v>
      </c>
      <c r="B63" s="162">
        <v>12484.76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34</v>
      </c>
      <c r="D64" s="62">
        <v>2</v>
      </c>
      <c r="E64" s="54">
        <v>1</v>
      </c>
    </row>
    <row r="65" spans="1:4" s="55" customFormat="1" ht="16.5" hidden="1" thickBot="1" x14ac:dyDescent="0.3">
      <c r="A65" s="69" t="s">
        <v>284</v>
      </c>
      <c r="B65" s="178">
        <v>0</v>
      </c>
      <c r="C65" s="80">
        <v>36</v>
      </c>
      <c r="D65" s="73">
        <f>650/1.18</f>
        <v>550.84745762711873</v>
      </c>
    </row>
    <row r="66" spans="1:4" s="55" customFormat="1" ht="16.5" thickBot="1" x14ac:dyDescent="0.3">
      <c r="A66" s="175" t="s">
        <v>285</v>
      </c>
      <c r="B66" s="121">
        <f>SUM(B67:B74)</f>
        <v>135521.65059357119</v>
      </c>
      <c r="C66" s="56"/>
      <c r="D66" s="60"/>
    </row>
    <row r="67" spans="1:4" ht="16.5" hidden="1" thickBot="1" x14ac:dyDescent="0.3">
      <c r="A67" s="69" t="s">
        <v>286</v>
      </c>
      <c r="B67" s="98">
        <v>0</v>
      </c>
      <c r="C67" s="65"/>
      <c r="D67" s="73"/>
    </row>
    <row r="68" spans="1:4" ht="16.5" thickBot="1" x14ac:dyDescent="0.3">
      <c r="A68" s="69" t="s">
        <v>287</v>
      </c>
      <c r="B68" s="11">
        <f>52555*1.04*1.1194*1.0952</f>
        <v>67007.916953535998</v>
      </c>
      <c r="C68" s="56"/>
      <c r="D68" s="60"/>
    </row>
    <row r="69" spans="1:4" ht="15.75" hidden="1" x14ac:dyDescent="0.25">
      <c r="A69" s="69" t="s">
        <v>288</v>
      </c>
      <c r="B69" s="98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2057.4</v>
      </c>
      <c r="C70" s="60"/>
      <c r="D70" s="73"/>
    </row>
    <row r="71" spans="1:4" ht="15.75" x14ac:dyDescent="0.25">
      <c r="A71" s="74" t="s">
        <v>290</v>
      </c>
      <c r="B71" s="11">
        <f>5.06*B15</f>
        <v>7711.44</v>
      </c>
      <c r="C71" s="81"/>
      <c r="D71" s="60"/>
    </row>
    <row r="72" spans="1:4" ht="15.75" x14ac:dyDescent="0.25">
      <c r="A72" s="74" t="s">
        <v>291</v>
      </c>
      <c r="B72" s="11">
        <f>17.68*B15</f>
        <v>26944.32</v>
      </c>
      <c r="C72" s="73"/>
      <c r="D72" s="60"/>
    </row>
    <row r="73" spans="1:4" ht="15.75" x14ac:dyDescent="0.25">
      <c r="A73" s="25" t="s">
        <v>292</v>
      </c>
      <c r="B73" s="11">
        <f>2641*1.04*1.1194*1.095</f>
        <v>3366.6747535199993</v>
      </c>
      <c r="C73" s="73"/>
      <c r="D73" s="60"/>
    </row>
    <row r="74" spans="1:4" ht="15.75" x14ac:dyDescent="0.25">
      <c r="A74" s="74" t="s">
        <v>293</v>
      </c>
      <c r="B74" s="11">
        <f>22301*1.04*1.1194*1.0952</f>
        <v>28433.898886515199</v>
      </c>
      <c r="C74" s="73"/>
      <c r="D74" s="60"/>
    </row>
    <row r="75" spans="1:4" ht="47.25" x14ac:dyDescent="0.25">
      <c r="A75" s="213" t="s">
        <v>326</v>
      </c>
      <c r="B75" s="121">
        <f>SUM(B76:B76)</f>
        <v>54450.387240371194</v>
      </c>
      <c r="C75" s="73"/>
      <c r="D75" s="60"/>
    </row>
    <row r="76" spans="1:4" ht="15.75" x14ac:dyDescent="0.25">
      <c r="A76" s="74" t="s">
        <v>295</v>
      </c>
      <c r="B76" s="11">
        <f>42706*1.04*1.1194*1.0952</f>
        <v>54450.387240371194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54678.701817777663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'[1]34тарифы'!D170*B15*1.1194*1.0952</f>
        <v>40259.974192731541</v>
      </c>
      <c r="C78" s="63"/>
      <c r="D78" s="60"/>
    </row>
    <row r="79" spans="1:4" ht="16.5" thickBot="1" x14ac:dyDescent="0.3">
      <c r="A79" s="35" t="s">
        <v>298</v>
      </c>
      <c r="B79" s="11">
        <f>(B26/1.2)*30%</f>
        <v>4700.5</v>
      </c>
      <c r="C79" s="65"/>
      <c r="D79" s="73"/>
    </row>
    <row r="80" spans="1:4" ht="15.75" x14ac:dyDescent="0.25">
      <c r="A80" s="83" t="s">
        <v>328</v>
      </c>
      <c r="B80" s="11">
        <f>3019.25+3530.7</f>
        <v>6549.95</v>
      </c>
      <c r="C80" s="81"/>
      <c r="D80" s="60"/>
    </row>
    <row r="81" spans="1:4" ht="15.75" x14ac:dyDescent="0.25">
      <c r="A81" s="83" t="s">
        <v>329</v>
      </c>
      <c r="B81" s="11">
        <f>'[1]34тарифы'!D173*B13*1.1194*1.01</f>
        <v>3168.2776250461284</v>
      </c>
      <c r="C81" s="73"/>
      <c r="D81" s="60"/>
    </row>
    <row r="82" spans="1:4" ht="15.75" x14ac:dyDescent="0.25">
      <c r="A82" s="214" t="s">
        <v>301</v>
      </c>
      <c r="B82" s="14">
        <f>B32+B42+B46+B66+B75+B77</f>
        <v>495649.25348713185</v>
      </c>
      <c r="C82" s="73"/>
      <c r="D82" s="60"/>
    </row>
    <row r="83" spans="1:4" ht="15.75" x14ac:dyDescent="0.25">
      <c r="A83" s="215" t="s">
        <v>302</v>
      </c>
      <c r="B83" s="11">
        <f>B82*0.03</f>
        <v>14869.477604613954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510518.73109174578</v>
      </c>
      <c r="C84" s="73"/>
      <c r="D84" s="60"/>
    </row>
    <row r="85" spans="1:4" ht="16.5" thickBot="1" x14ac:dyDescent="0.3">
      <c r="A85" s="217" t="s">
        <v>304</v>
      </c>
      <c r="B85" s="142">
        <f>B84*0.2</f>
        <v>102103.74621834916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612622.47731009498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-1386517.727310095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67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31000000}">
    <filterColumn colId="1">
      <filters>
        <filter val="-1 386 517,73"/>
        <filter val="10 198,09"/>
        <filter val="10 532,17"/>
        <filter val="100 070,25"/>
        <filter val="102 103,75"/>
        <filter val="109 489,30"/>
        <filter val="12 484,76"/>
        <filter val="13 437,42"/>
        <filter val="135 521,65"/>
        <filter val="14 869,48"/>
        <filter val="140,98"/>
        <filter val="2 057,40"/>
        <filter val="2 685,96"/>
        <filter val="2 832,09"/>
        <filter val="24 510,05"/>
        <filter val="26 484,28"/>
        <filter val="26 944,32"/>
        <filter val="28 433,90"/>
        <filter val="3 014,85"/>
        <filter val="3 168,28"/>
        <filter val="3 261,48"/>
        <filter val="3 366,67"/>
        <filter val="4 200,00"/>
        <filter val="4 700,50"/>
        <filter val="4 896,13"/>
        <filter val="40 259,97"/>
        <filter val="41 438,96"/>
        <filter val="47 751,90"/>
        <filter val="495 649,25"/>
        <filter val="510 518,73"/>
        <filter val="54 450,39"/>
        <filter val="54 678,70"/>
        <filter val="6 549,95"/>
        <filter val="612 622,48"/>
        <filter val="67 007,92"/>
        <filter val="7 711,44"/>
        <filter val="76 434,74"/>
        <filter val="8 133,61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4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filterMode="1">
    <pageSetUpPr fitToPage="1"/>
  </sheetPr>
  <dimension ref="A1:G95"/>
  <sheetViews>
    <sheetView view="pageBreakPreview" topLeftCell="A70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114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-1045811.29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1540.2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0</v>
      </c>
      <c r="C14" s="60"/>
      <c r="D14" s="59"/>
    </row>
    <row r="15" spans="1:4" ht="15.75" hidden="1" x14ac:dyDescent="0.25">
      <c r="A15" s="58" t="s">
        <v>237</v>
      </c>
      <c r="B15" s="11">
        <f>B13+B14</f>
        <v>1540.2</v>
      </c>
      <c r="C15" s="61"/>
      <c r="D15" s="62"/>
    </row>
    <row r="16" spans="1:4" ht="16.5" hidden="1" thickBot="1" x14ac:dyDescent="0.3">
      <c r="A16" s="58" t="s">
        <v>238</v>
      </c>
      <c r="B16" s="11">
        <f>817.97+2812.5/3</f>
        <v>1755.47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644.29999999999995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828.1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85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299815.18</v>
      </c>
      <c r="C24" s="59"/>
      <c r="D24" s="62"/>
      <c r="E24" s="194">
        <v>13.82</v>
      </c>
      <c r="F24" s="195">
        <v>15.470108</v>
      </c>
      <c r="G24" s="54"/>
    </row>
    <row r="25" spans="1:7" ht="16.5" thickBot="1" x14ac:dyDescent="0.3">
      <c r="A25" s="64" t="s">
        <v>318</v>
      </c>
      <c r="B25" s="14">
        <f>VLOOKUP(A5,мкд!W:Y,3,FALSE)</f>
        <v>279672.83999999997</v>
      </c>
      <c r="C25" s="63"/>
      <c r="D25" s="62"/>
      <c r="E25" s="54"/>
      <c r="F25" s="54"/>
      <c r="G25" s="54"/>
    </row>
    <row r="26" spans="1:7" ht="15.75" hidden="1" x14ac:dyDescent="0.25">
      <c r="A26" s="64" t="s">
        <v>319</v>
      </c>
      <c r="B26" s="14"/>
      <c r="C26" s="57"/>
      <c r="D26" s="59"/>
      <c r="E26" s="54"/>
      <c r="F26" s="54"/>
      <c r="G26" s="54"/>
    </row>
    <row r="27" spans="1:7" ht="16.5" hidden="1" thickBot="1" x14ac:dyDescent="0.3">
      <c r="A27" s="64" t="s">
        <v>248</v>
      </c>
      <c r="B27" s="14">
        <f>B26</f>
        <v>0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5781.36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64841.94</v>
      </c>
      <c r="C32" s="59"/>
      <c r="D32" s="62"/>
      <c r="E32" s="67">
        <f>(B86-B26-B24)/1.2/1.03</f>
        <v>181530.40021782092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v>25886.43</v>
      </c>
      <c r="C33" s="63"/>
      <c r="D33" s="62">
        <v>13679.82</v>
      </c>
      <c r="E33" s="54"/>
      <c r="F33" s="54"/>
      <c r="G33" s="54"/>
    </row>
    <row r="34" spans="1:7" ht="15.75" hidden="1" x14ac:dyDescent="0.25">
      <c r="A34" s="69" t="s">
        <v>320</v>
      </c>
      <c r="B34" s="11">
        <v>0</v>
      </c>
      <c r="C34" s="57"/>
      <c r="D34" s="59">
        <v>0</v>
      </c>
      <c r="E34" s="54"/>
      <c r="F34" s="54"/>
      <c r="G34" s="54"/>
    </row>
    <row r="35" spans="1:7" ht="15.75" hidden="1" x14ac:dyDescent="0.25">
      <c r="A35" s="69" t="s">
        <v>256</v>
      </c>
      <c r="B35" s="11">
        <v>0</v>
      </c>
      <c r="C35" s="62"/>
      <c r="D35" s="59">
        <v>0</v>
      </c>
      <c r="E35" s="54"/>
      <c r="F35" s="54"/>
      <c r="G35" s="54"/>
    </row>
    <row r="36" spans="1:7" ht="15.75" x14ac:dyDescent="0.25">
      <c r="A36" s="69" t="s">
        <v>255</v>
      </c>
      <c r="B36" s="11">
        <v>3174.63</v>
      </c>
      <c r="C36" s="62" t="s">
        <v>234</v>
      </c>
      <c r="D36" s="59">
        <v>0</v>
      </c>
      <c r="E36" s="54"/>
      <c r="F36" s="54"/>
      <c r="G36" s="54"/>
    </row>
    <row r="37" spans="1:7" ht="15.75" hidden="1" x14ac:dyDescent="0.25">
      <c r="A37" s="69" t="s">
        <v>257</v>
      </c>
      <c r="B37" s="11">
        <v>0</v>
      </c>
      <c r="C37" s="62"/>
      <c r="D37" s="59">
        <v>0</v>
      </c>
      <c r="E37" s="54"/>
      <c r="F37" s="54"/>
      <c r="G37" s="54"/>
    </row>
    <row r="38" spans="1:7" ht="15.75" hidden="1" x14ac:dyDescent="0.25">
      <c r="A38" s="69" t="s">
        <v>258</v>
      </c>
      <c r="B38" s="11">
        <v>0</v>
      </c>
      <c r="C38" s="62"/>
      <c r="D38" s="59">
        <v>0</v>
      </c>
      <c r="E38" s="54"/>
      <c r="F38" s="54"/>
      <c r="G38" s="54"/>
    </row>
    <row r="39" spans="1:7" ht="15.75" hidden="1" x14ac:dyDescent="0.25">
      <c r="A39" s="69" t="s">
        <v>256</v>
      </c>
      <c r="B39" s="11"/>
      <c r="C39" s="62"/>
      <c r="D39" s="59">
        <v>0</v>
      </c>
      <c r="E39" s="54"/>
      <c r="F39" s="54"/>
      <c r="G39" s="54"/>
    </row>
    <row r="40" spans="1:7" ht="15.75" hidden="1" x14ac:dyDescent="0.25">
      <c r="A40" s="69" t="s">
        <v>257</v>
      </c>
      <c r="B40" s="11"/>
      <c r="C40" s="62"/>
      <c r="D40" s="59"/>
      <c r="E40" s="54"/>
      <c r="F40" s="54"/>
      <c r="G40" s="54"/>
    </row>
    <row r="41" spans="1:7" ht="16.5" thickBot="1" x14ac:dyDescent="0.3">
      <c r="A41" s="69" t="s">
        <v>338</v>
      </c>
      <c r="B41" s="11">
        <v>35780.880000000005</v>
      </c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49506.337189824357</v>
      </c>
      <c r="C42" s="56"/>
      <c r="D42" s="62"/>
      <c r="E42" s="67"/>
      <c r="F42" s="67"/>
      <c r="G42" s="67"/>
    </row>
    <row r="43" spans="1:7" ht="15.75" x14ac:dyDescent="0.25">
      <c r="A43" s="69" t="s">
        <v>262</v>
      </c>
      <c r="B43" s="11">
        <v>8541.2900000000009</v>
      </c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30754.719999999998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('[1]34тарифы'!D163*B15+156.91)*1.1194*1.0952</f>
        <v>10210.32718982436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41666.5</v>
      </c>
      <c r="C46" s="56"/>
      <c r="D46" s="62"/>
    </row>
    <row r="47" spans="1:7" ht="15.75" x14ac:dyDescent="0.25">
      <c r="A47" s="69" t="s">
        <v>324</v>
      </c>
      <c r="B47" s="162">
        <v>2706.12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62">
        <v>3285.96</v>
      </c>
      <c r="C48" s="62"/>
      <c r="D48" s="59"/>
      <c r="E48" s="54" t="s">
        <v>269</v>
      </c>
      <c r="F48" s="54"/>
      <c r="G48" s="54"/>
    </row>
    <row r="49" spans="1:5" ht="15.75" x14ac:dyDescent="0.25">
      <c r="A49" s="75" t="s">
        <v>281</v>
      </c>
      <c r="B49" s="11">
        <v>92.79</v>
      </c>
      <c r="C49" s="62"/>
      <c r="D49" s="59"/>
      <c r="E49" s="54"/>
    </row>
    <row r="50" spans="1:5" ht="15.75" hidden="1" x14ac:dyDescent="0.25">
      <c r="A50" s="75" t="s">
        <v>271</v>
      </c>
      <c r="B50" s="11">
        <v>0</v>
      </c>
      <c r="C50" s="62"/>
      <c r="D50" s="59">
        <v>4190</v>
      </c>
      <c r="E50" s="54"/>
    </row>
    <row r="51" spans="1:5" ht="15.75" hidden="1" x14ac:dyDescent="0.25">
      <c r="A51" s="75" t="s">
        <v>272</v>
      </c>
      <c r="B51" s="11">
        <v>0</v>
      </c>
      <c r="C51" s="62"/>
      <c r="D51" s="59"/>
      <c r="E51" s="54"/>
    </row>
    <row r="52" spans="1:5" ht="15.75" hidden="1" x14ac:dyDescent="0.25">
      <c r="A52" s="75" t="s">
        <v>273</v>
      </c>
      <c r="B52" s="11">
        <f>B21*'[1]34тарифы'!D177</f>
        <v>0</v>
      </c>
      <c r="C52" s="62"/>
      <c r="D52" s="59">
        <v>105.14</v>
      </c>
      <c r="E52" s="54"/>
    </row>
    <row r="53" spans="1:5" ht="15.75" hidden="1" x14ac:dyDescent="0.25">
      <c r="A53" s="75" t="s">
        <v>274</v>
      </c>
      <c r="B53" s="11">
        <v>0</v>
      </c>
      <c r="C53" s="62">
        <v>0</v>
      </c>
      <c r="D53" s="59">
        <v>522.99</v>
      </c>
      <c r="E53" s="54"/>
    </row>
    <row r="54" spans="1:5" ht="15.75" hidden="1" x14ac:dyDescent="0.25">
      <c r="A54" s="75" t="s">
        <v>275</v>
      </c>
      <c r="B54" s="11">
        <v>0</v>
      </c>
      <c r="C54" s="62">
        <v>0</v>
      </c>
      <c r="D54" s="76">
        <v>695.13</v>
      </c>
      <c r="E54" s="54"/>
    </row>
    <row r="55" spans="1:5" ht="15.75" hidden="1" x14ac:dyDescent="0.25">
      <c r="A55" s="75" t="s">
        <v>276</v>
      </c>
      <c r="B55" s="11">
        <v>0</v>
      </c>
      <c r="C55" s="62"/>
      <c r="D55" s="76"/>
      <c r="E55" s="54"/>
    </row>
    <row r="56" spans="1:5" ht="15.75" hidden="1" x14ac:dyDescent="0.25">
      <c r="A56" s="75" t="s">
        <v>277</v>
      </c>
      <c r="B56" s="11">
        <v>0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312</v>
      </c>
      <c r="B57" s="11">
        <v>0</v>
      </c>
      <c r="C57" s="62">
        <v>0</v>
      </c>
      <c r="D57" s="59">
        <f>2300/1.18</f>
        <v>1949.1525423728815</v>
      </c>
      <c r="E57" s="54"/>
    </row>
    <row r="58" spans="1:5" ht="15.75" hidden="1" x14ac:dyDescent="0.25">
      <c r="A58" s="75" t="s">
        <v>344</v>
      </c>
      <c r="B58" s="11"/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</row>
    <row r="60" spans="1:5" ht="15.75" customHeight="1" x14ac:dyDescent="0.25">
      <c r="A60" s="69" t="s">
        <v>520</v>
      </c>
      <c r="B60" s="11">
        <v>4200</v>
      </c>
      <c r="C60" s="57"/>
      <c r="D60" s="59"/>
      <c r="E60" s="54"/>
    </row>
    <row r="61" spans="1:5" ht="15.75" x14ac:dyDescent="0.25">
      <c r="A61" s="69" t="s">
        <v>343</v>
      </c>
      <c r="B61" s="11">
        <v>8133.61</v>
      </c>
      <c r="C61" s="62"/>
      <c r="D61" s="59">
        <v>0</v>
      </c>
      <c r="E61" s="54"/>
    </row>
    <row r="62" spans="1:5" ht="15.75" x14ac:dyDescent="0.25">
      <c r="A62" s="69" t="s">
        <v>518</v>
      </c>
      <c r="B62" s="162">
        <v>10763.26</v>
      </c>
      <c r="C62" s="62"/>
      <c r="D62" s="59">
        <v>0</v>
      </c>
      <c r="E62" s="54"/>
    </row>
    <row r="63" spans="1:5" ht="16.5" thickBot="1" x14ac:dyDescent="0.3">
      <c r="A63" s="69" t="s">
        <v>337</v>
      </c>
      <c r="B63" s="162">
        <v>12484.76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36</v>
      </c>
      <c r="D64" s="62">
        <v>2</v>
      </c>
      <c r="E64" s="54">
        <v>1</v>
      </c>
    </row>
    <row r="65" spans="1:4" s="55" customFormat="1" ht="16.5" hidden="1" thickBot="1" x14ac:dyDescent="0.3">
      <c r="A65" s="69" t="s">
        <v>284</v>
      </c>
      <c r="B65" s="132">
        <v>0</v>
      </c>
      <c r="C65" s="80">
        <v>36</v>
      </c>
      <c r="D65" s="73">
        <f>650/1.18</f>
        <v>550.84745762711873</v>
      </c>
    </row>
    <row r="66" spans="1:4" s="55" customFormat="1" ht="16.5" thickBot="1" x14ac:dyDescent="0.3">
      <c r="A66" s="175" t="s">
        <v>285</v>
      </c>
      <c r="B66" s="121">
        <f>SUM(B67:B74)</f>
        <v>150238.4859295616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63526*1.04*1.1194*1.0952</f>
        <v>80996.002899635205</v>
      </c>
      <c r="C68" s="56"/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2079.27</v>
      </c>
      <c r="C70" s="60"/>
      <c r="D70" s="73"/>
    </row>
    <row r="71" spans="1:4" ht="15.75" x14ac:dyDescent="0.25">
      <c r="A71" s="74" t="s">
        <v>290</v>
      </c>
      <c r="B71" s="11">
        <f>5.06*B15</f>
        <v>7793.4119999999994</v>
      </c>
      <c r="C71" s="81"/>
      <c r="D71" s="60"/>
    </row>
    <row r="72" spans="1:4" ht="15.75" x14ac:dyDescent="0.25">
      <c r="A72" s="74" t="s">
        <v>291</v>
      </c>
      <c r="B72" s="11">
        <f>17.68*B15</f>
        <v>27230.736000000001</v>
      </c>
      <c r="C72" s="73"/>
      <c r="D72" s="60"/>
    </row>
    <row r="73" spans="1:4" ht="15.75" x14ac:dyDescent="0.25">
      <c r="A73" s="25" t="s">
        <v>292</v>
      </c>
      <c r="B73" s="11">
        <f>2669*1.04*1.1194*1.0952</f>
        <v>3402.9898268287998</v>
      </c>
      <c r="C73" s="73"/>
      <c r="D73" s="60"/>
    </row>
    <row r="74" spans="1:4" ht="15.75" x14ac:dyDescent="0.25">
      <c r="A74" s="74" t="s">
        <v>293</v>
      </c>
      <c r="B74" s="11">
        <f>22538*1.04*1.1194*1.0952</f>
        <v>28736.0752030976</v>
      </c>
      <c r="C74" s="73"/>
      <c r="D74" s="60"/>
    </row>
    <row r="75" spans="1:4" ht="47.25" x14ac:dyDescent="0.25">
      <c r="A75" s="213" t="s">
        <v>326</v>
      </c>
      <c r="B75" s="121">
        <f>SUM(B76:B76)</f>
        <v>67767.986015157367</v>
      </c>
      <c r="C75" s="73"/>
      <c r="D75" s="60"/>
    </row>
    <row r="76" spans="1:4" ht="15.75" x14ac:dyDescent="0.25">
      <c r="A76" s="74" t="s">
        <v>295</v>
      </c>
      <c r="B76" s="11">
        <f>53151.13*1.04*1.1194*1.0952</f>
        <v>67767.986015157367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50078.066940882782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'[1]34тарифы'!D170*B15*1.1194*1.0952</f>
        <v>40687.934548323567</v>
      </c>
      <c r="C78" s="63"/>
      <c r="D78" s="60"/>
    </row>
    <row r="79" spans="1:4" ht="16.5" hidden="1" thickBot="1" x14ac:dyDescent="0.3">
      <c r="A79" s="35" t="s">
        <v>298</v>
      </c>
      <c r="B79" s="11">
        <f>(B26/1.2)*30%</f>
        <v>0</v>
      </c>
      <c r="C79" s="65"/>
      <c r="D79" s="73"/>
    </row>
    <row r="80" spans="1:4" ht="15.75" x14ac:dyDescent="0.25">
      <c r="A80" s="83" t="s">
        <v>328</v>
      </c>
      <c r="B80" s="11">
        <f>3196.75+2775.69</f>
        <v>5972.4400000000005</v>
      </c>
      <c r="C80" s="81"/>
      <c r="D80" s="60"/>
    </row>
    <row r="81" spans="1:4" ht="15.75" x14ac:dyDescent="0.25">
      <c r="A81" s="83" t="s">
        <v>329</v>
      </c>
      <c r="B81" s="11">
        <f>'[1]34тарифы'!D173*B13*1.1194*1.01</f>
        <v>3417.692392559215</v>
      </c>
      <c r="C81" s="73"/>
      <c r="D81" s="60"/>
    </row>
    <row r="82" spans="1:4" ht="15.75" x14ac:dyDescent="0.25">
      <c r="A82" s="214" t="s">
        <v>301</v>
      </c>
      <c r="B82" s="14">
        <f>B32+B42+B46+B66+B75+B77</f>
        <v>424099.31607542606</v>
      </c>
      <c r="C82" s="73"/>
      <c r="D82" s="60"/>
    </row>
    <row r="83" spans="1:4" ht="15.75" x14ac:dyDescent="0.25">
      <c r="A83" s="215" t="s">
        <v>302</v>
      </c>
      <c r="B83" s="11">
        <f>B82*0.03</f>
        <v>12722.979482262781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436822.29555768886</v>
      </c>
      <c r="C84" s="73"/>
      <c r="D84" s="60"/>
    </row>
    <row r="85" spans="1:4" ht="16.5" thickBot="1" x14ac:dyDescent="0.3">
      <c r="A85" s="217" t="s">
        <v>304</v>
      </c>
      <c r="B85" s="142">
        <f>B84*0.2</f>
        <v>87364.459111537784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524186.75466922665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-1264401.5046692267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32000000}">
    <filterColumn colId="1">
      <filters>
        <filter val="-1 264 401,50"/>
        <filter val="10 210,33"/>
        <filter val="10 763,26"/>
        <filter val="12 484,76"/>
        <filter val="12 722,98"/>
        <filter val="150 238,49"/>
        <filter val="2 079,27"/>
        <filter val="2 706,12"/>
        <filter val="25 886,43"/>
        <filter val="27 230,74"/>
        <filter val="28 736,08"/>
        <filter val="3 174,63"/>
        <filter val="3 285,96"/>
        <filter val="3 402,99"/>
        <filter val="3 417,69"/>
        <filter val="30 754,72"/>
        <filter val="35 780,88"/>
        <filter val="4 200,00"/>
        <filter val="40 687,93"/>
        <filter val="41 666,50"/>
        <filter val="424 099,32"/>
        <filter val="436 822,30"/>
        <filter val="49 506,34"/>
        <filter val="5 972,44"/>
        <filter val="50 078,07"/>
        <filter val="524 186,75"/>
        <filter val="64 841,94"/>
        <filter val="67 767,99"/>
        <filter val="7 793,41"/>
        <filter val="8 133,61"/>
        <filter val="8 541,29"/>
        <filter val="80 996,00"/>
        <filter val="87 364,46"/>
        <filter val="92,79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filterMode="1">
    <pageSetUpPr fitToPage="1"/>
  </sheetPr>
  <dimension ref="A1:G95"/>
  <sheetViews>
    <sheetView view="pageBreakPreview" topLeftCell="A75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69"/>
      <c r="C1" s="54"/>
      <c r="D1" s="54"/>
    </row>
    <row r="2" spans="1:4" ht="16.5" x14ac:dyDescent="0.25">
      <c r="A2" s="281" t="s">
        <v>225</v>
      </c>
      <c r="B2" s="270"/>
      <c r="C2" s="54"/>
      <c r="D2" s="54"/>
    </row>
    <row r="3" spans="1:4" ht="16.5" x14ac:dyDescent="0.25">
      <c r="A3" s="281" t="s">
        <v>226</v>
      </c>
      <c r="B3" s="270"/>
      <c r="C3" s="54"/>
      <c r="D3" s="54"/>
    </row>
    <row r="4" spans="1:4" ht="15.75" x14ac:dyDescent="0.25">
      <c r="A4" s="201" t="s">
        <v>494</v>
      </c>
      <c r="B4" s="184"/>
      <c r="C4" s="54"/>
      <c r="D4" s="54"/>
    </row>
    <row r="5" spans="1:4" ht="15.75" x14ac:dyDescent="0.25">
      <c r="A5" s="201" t="s">
        <v>115</v>
      </c>
      <c r="B5" s="184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185823.47</v>
      </c>
      <c r="C10" s="205"/>
      <c r="D10" s="206"/>
    </row>
    <row r="11" spans="1:4" ht="16.5" hidden="1" thickBot="1" x14ac:dyDescent="0.25">
      <c r="A11" s="207" t="s">
        <v>232</v>
      </c>
      <c r="B11" s="239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2460.9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151.80000000000001</v>
      </c>
      <c r="C14" s="60"/>
      <c r="D14" s="59"/>
    </row>
    <row r="15" spans="1:4" ht="15.75" hidden="1" x14ac:dyDescent="0.25">
      <c r="A15" s="58" t="s">
        <v>237</v>
      </c>
      <c r="B15" s="11">
        <f>B13+B14</f>
        <v>2612.7000000000003</v>
      </c>
      <c r="C15" s="61"/>
      <c r="D15" s="62"/>
    </row>
    <row r="16" spans="1:4" ht="16.5" hidden="1" thickBot="1" x14ac:dyDescent="0.3">
      <c r="A16" s="58" t="s">
        <v>238</v>
      </c>
      <c r="B16" s="11">
        <f>965.25+950.4/3</f>
        <v>1282.05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98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98">
        <v>680.2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98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98">
        <v>744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98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98">
        <v>127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506666.28</v>
      </c>
      <c r="C24" s="59"/>
      <c r="D24" s="62"/>
      <c r="E24" s="194">
        <v>15.3299999776</v>
      </c>
      <c r="F24" s="195">
        <v>17.160401974925438</v>
      </c>
      <c r="G24" s="54"/>
    </row>
    <row r="25" spans="1:7" ht="16.5" thickBot="1" x14ac:dyDescent="0.3">
      <c r="A25" s="64" t="s">
        <v>318</v>
      </c>
      <c r="B25" s="14">
        <f>VLOOKUP(A5,мкд!W:Y,3,FALSE)</f>
        <v>487803.81</v>
      </c>
      <c r="C25" s="63"/>
      <c r="D25" s="62"/>
      <c r="E25" s="54"/>
      <c r="F25" s="54"/>
      <c r="G25" s="54"/>
    </row>
    <row r="26" spans="1:7" ht="15.75" x14ac:dyDescent="0.25">
      <c r="A26" s="64" t="s">
        <v>348</v>
      </c>
      <c r="B26" s="14">
        <v>38301.120000000003</v>
      </c>
      <c r="C26" s="57"/>
      <c r="D26" s="59"/>
      <c r="E26" s="54"/>
      <c r="F26" s="54"/>
      <c r="G26" s="54"/>
    </row>
    <row r="27" spans="1:7" ht="16.5" thickBot="1" x14ac:dyDescent="0.3">
      <c r="A27" s="64" t="s">
        <v>349</v>
      </c>
      <c r="B27" s="161">
        <v>42864.26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7154.31</v>
      </c>
      <c r="C28" s="56"/>
      <c r="D28" s="62"/>
      <c r="E28" s="54"/>
      <c r="F28" s="54"/>
      <c r="G28" s="54"/>
    </row>
    <row r="29" spans="1:7" ht="16.5" thickBot="1" x14ac:dyDescent="0.3">
      <c r="A29" s="64" t="s">
        <v>250</v>
      </c>
      <c r="B29" s="161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32963.006097523197</v>
      </c>
      <c r="C32" s="59"/>
      <c r="D32" s="62"/>
      <c r="E32" s="67">
        <f>(B86-B26-B24)/1.2/1.03</f>
        <v>54282.888251129225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f>18494.64*1.1194*1.0952</f>
        <v>22673.816097523199</v>
      </c>
      <c r="C33" s="63"/>
      <c r="D33" s="62">
        <v>47366.46</v>
      </c>
      <c r="E33" s="54"/>
      <c r="F33" s="54"/>
      <c r="G33" s="54"/>
    </row>
    <row r="34" spans="1:7" ht="15.75" hidden="1" x14ac:dyDescent="0.25">
      <c r="A34" s="69" t="s">
        <v>320</v>
      </c>
      <c r="B34" s="168">
        <v>0</v>
      </c>
      <c r="C34" s="57"/>
      <c r="D34" s="59">
        <v>0</v>
      </c>
      <c r="E34" s="54"/>
      <c r="F34" s="54"/>
      <c r="G34" s="54"/>
    </row>
    <row r="35" spans="1:7" ht="15.75" hidden="1" x14ac:dyDescent="0.25">
      <c r="A35" s="69" t="s">
        <v>256</v>
      </c>
      <c r="B35" s="11">
        <v>0</v>
      </c>
      <c r="C35" s="62"/>
      <c r="D35" s="59">
        <v>0</v>
      </c>
      <c r="E35" s="54"/>
      <c r="F35" s="54"/>
      <c r="G35" s="54"/>
    </row>
    <row r="36" spans="1:7" ht="15.75" hidden="1" x14ac:dyDescent="0.25">
      <c r="A36" s="69" t="s">
        <v>255</v>
      </c>
      <c r="B36" s="11">
        <v>0</v>
      </c>
      <c r="C36" s="62" t="s">
        <v>234</v>
      </c>
      <c r="D36" s="59">
        <v>0</v>
      </c>
      <c r="E36" s="54"/>
      <c r="F36" s="54"/>
      <c r="G36" s="54"/>
    </row>
    <row r="37" spans="1:7" ht="15.75" hidden="1" x14ac:dyDescent="0.25">
      <c r="A37" s="69" t="s">
        <v>257</v>
      </c>
      <c r="B37" s="11"/>
      <c r="C37" s="62"/>
      <c r="D37" s="59">
        <v>0</v>
      </c>
      <c r="E37" s="54"/>
      <c r="F37" s="54"/>
      <c r="G37" s="54"/>
    </row>
    <row r="38" spans="1:7" ht="15.75" hidden="1" x14ac:dyDescent="0.25">
      <c r="A38" s="69" t="s">
        <v>256</v>
      </c>
      <c r="B38" s="11"/>
      <c r="C38" s="62"/>
      <c r="D38" s="59">
        <v>0</v>
      </c>
      <c r="E38" s="54"/>
      <c r="F38" s="54"/>
      <c r="G38" s="54"/>
    </row>
    <row r="39" spans="1:7" ht="15.75" hidden="1" x14ac:dyDescent="0.25">
      <c r="A39" s="69" t="s">
        <v>255</v>
      </c>
      <c r="B39" s="98"/>
      <c r="C39" s="62"/>
      <c r="D39" s="59">
        <v>0</v>
      </c>
      <c r="E39" s="54"/>
      <c r="F39" s="54"/>
      <c r="G39" s="54"/>
    </row>
    <row r="40" spans="1:7" ht="15.75" hidden="1" x14ac:dyDescent="0.25">
      <c r="A40" s="69" t="s">
        <v>310</v>
      </c>
      <c r="B40" s="98"/>
      <c r="C40" s="62"/>
      <c r="D40" s="59"/>
      <c r="E40" s="54"/>
      <c r="F40" s="54"/>
      <c r="G40" s="54"/>
    </row>
    <row r="41" spans="1:7" ht="16.5" thickBot="1" x14ac:dyDescent="0.3">
      <c r="A41" s="69" t="s">
        <v>338</v>
      </c>
      <c r="B41" s="98">
        <v>10289.19</v>
      </c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36323.687824206245</v>
      </c>
      <c r="C42" s="56"/>
      <c r="D42" s="62"/>
      <c r="E42" s="67"/>
      <c r="F42" s="67"/>
      <c r="G42" s="67"/>
    </row>
    <row r="43" spans="1:7" ht="15.75" x14ac:dyDescent="0.25">
      <c r="A43" s="69" t="s">
        <v>262</v>
      </c>
      <c r="B43" s="11">
        <v>8541.2900000000009</v>
      </c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11997.929999999998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('[1]34тарифы'!D163*B15+239.24)*1.1194</f>
        <v>15784.467824206245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58730.959999999992</v>
      </c>
      <c r="C46" s="56"/>
      <c r="D46" s="62"/>
    </row>
    <row r="47" spans="1:7" ht="15.75" x14ac:dyDescent="0.25">
      <c r="A47" s="69" t="s">
        <v>324</v>
      </c>
      <c r="B47" s="132">
        <v>1496.44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32">
        <v>4690.96</v>
      </c>
      <c r="C48" s="62"/>
      <c r="D48" s="59"/>
      <c r="E48" s="54" t="s">
        <v>269</v>
      </c>
      <c r="F48" s="54"/>
      <c r="G48" s="54"/>
    </row>
    <row r="49" spans="1:5" ht="15.75" x14ac:dyDescent="0.25">
      <c r="A49" s="75" t="s">
        <v>356</v>
      </c>
      <c r="B49" s="98">
        <f>53.36</f>
        <v>53.36</v>
      </c>
      <c r="C49" s="62"/>
      <c r="D49" s="59"/>
      <c r="E49" s="54"/>
    </row>
    <row r="50" spans="1:5" ht="15.75" hidden="1" x14ac:dyDescent="0.25">
      <c r="A50" s="75" t="s">
        <v>271</v>
      </c>
      <c r="B50" s="98">
        <v>0</v>
      </c>
      <c r="C50" s="62"/>
      <c r="D50" s="59">
        <v>4190</v>
      </c>
      <c r="E50" s="54"/>
    </row>
    <row r="51" spans="1:5" ht="15.75" hidden="1" x14ac:dyDescent="0.25">
      <c r="A51" s="75" t="s">
        <v>272</v>
      </c>
      <c r="B51" s="98">
        <v>0</v>
      </c>
      <c r="C51" s="62"/>
      <c r="D51" s="59"/>
      <c r="E51" s="54"/>
    </row>
    <row r="52" spans="1:5" ht="15.75" hidden="1" x14ac:dyDescent="0.25">
      <c r="A52" s="75" t="s">
        <v>273</v>
      </c>
      <c r="B52" s="98">
        <f>B21*'[1]34тарифы'!D177</f>
        <v>0</v>
      </c>
      <c r="C52" s="62"/>
      <c r="D52" s="59">
        <v>105.14</v>
      </c>
      <c r="E52" s="54"/>
    </row>
    <row r="53" spans="1:5" ht="15.75" hidden="1" x14ac:dyDescent="0.25">
      <c r="A53" s="75" t="s">
        <v>274</v>
      </c>
      <c r="B53" s="98">
        <v>0</v>
      </c>
      <c r="C53" s="62">
        <v>0</v>
      </c>
      <c r="D53" s="59">
        <v>522.99</v>
      </c>
      <c r="E53" s="54"/>
    </row>
    <row r="54" spans="1:5" ht="15.75" x14ac:dyDescent="0.25">
      <c r="A54" s="95" t="s">
        <v>353</v>
      </c>
      <c r="B54" s="132">
        <v>6100</v>
      </c>
      <c r="C54" s="62">
        <v>0</v>
      </c>
      <c r="D54" s="76">
        <v>695.13</v>
      </c>
      <c r="E54" s="54"/>
    </row>
    <row r="55" spans="1:5" ht="15.75" hidden="1" x14ac:dyDescent="0.25">
      <c r="A55" s="75" t="s">
        <v>276</v>
      </c>
      <c r="B55" s="98">
        <v>0</v>
      </c>
      <c r="C55" s="62"/>
      <c r="D55" s="76"/>
      <c r="E55" s="54"/>
    </row>
    <row r="56" spans="1:5" ht="15.75" hidden="1" x14ac:dyDescent="0.25">
      <c r="A56" s="75" t="s">
        <v>277</v>
      </c>
      <c r="B56" s="98">
        <v>0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312</v>
      </c>
      <c r="B57" s="98">
        <v>0</v>
      </c>
      <c r="C57" s="62">
        <v>0</v>
      </c>
      <c r="D57" s="59">
        <f>2300/1.18</f>
        <v>1949.1525423728815</v>
      </c>
      <c r="E57" s="54"/>
    </row>
    <row r="58" spans="1:5" ht="15.75" hidden="1" x14ac:dyDescent="0.25">
      <c r="A58" s="75" t="s">
        <v>313</v>
      </c>
      <c r="B58" s="98">
        <v>0</v>
      </c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</row>
    <row r="60" spans="1:5" ht="15.75" hidden="1" x14ac:dyDescent="0.25">
      <c r="A60" s="69" t="s">
        <v>344</v>
      </c>
      <c r="B60" s="98"/>
      <c r="C60" s="57"/>
      <c r="D60" s="59"/>
      <c r="E60" s="54"/>
    </row>
    <row r="61" spans="1:5" ht="15.75" hidden="1" x14ac:dyDescent="0.25">
      <c r="A61" s="69" t="s">
        <v>403</v>
      </c>
      <c r="B61" s="98">
        <v>0</v>
      </c>
      <c r="C61" s="62"/>
      <c r="D61" s="59">
        <v>0</v>
      </c>
      <c r="E61" s="54"/>
    </row>
    <row r="62" spans="1:5" ht="15.75" x14ac:dyDescent="0.25">
      <c r="A62" s="69" t="s">
        <v>520</v>
      </c>
      <c r="B62" s="98">
        <v>4200</v>
      </c>
      <c r="C62" s="62"/>
      <c r="D62" s="59">
        <v>0</v>
      </c>
      <c r="E62" s="54"/>
    </row>
    <row r="63" spans="1:5" ht="16.5" thickBot="1" x14ac:dyDescent="0.3">
      <c r="A63" s="69" t="s">
        <v>337</v>
      </c>
      <c r="B63" s="132">
        <v>42190.2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57</v>
      </c>
      <c r="D64" s="62">
        <v>2</v>
      </c>
      <c r="E64" s="54">
        <v>1</v>
      </c>
    </row>
    <row r="65" spans="1:4" s="55" customFormat="1" ht="16.5" hidden="1" thickBot="1" x14ac:dyDescent="0.3">
      <c r="A65" s="69" t="s">
        <v>284</v>
      </c>
      <c r="B65" s="178">
        <v>0</v>
      </c>
      <c r="C65" s="80">
        <v>60</v>
      </c>
      <c r="D65" s="73">
        <f>650/1.18</f>
        <v>550.84745762711873</v>
      </c>
    </row>
    <row r="66" spans="1:4" s="55" customFormat="1" ht="16.5" thickBot="1" x14ac:dyDescent="0.3">
      <c r="A66" s="175" t="s">
        <v>285</v>
      </c>
      <c r="B66" s="121">
        <f>SUM(B67:B74)</f>
        <v>177106.49042371841</v>
      </c>
      <c r="C66" s="56"/>
      <c r="D66" s="60"/>
    </row>
    <row r="67" spans="1:4" ht="16.5" hidden="1" thickBot="1" x14ac:dyDescent="0.3">
      <c r="A67" s="69" t="s">
        <v>286</v>
      </c>
      <c r="B67" s="98">
        <v>0</v>
      </c>
      <c r="C67" s="65"/>
      <c r="D67" s="73"/>
    </row>
    <row r="68" spans="1:4" ht="16.5" thickBot="1" x14ac:dyDescent="0.3">
      <c r="A68" s="69" t="s">
        <v>287</v>
      </c>
      <c r="B68" s="11">
        <f>46783*1.04*1.1194*1.0952</f>
        <v>59648.584888921592</v>
      </c>
      <c r="C68" s="56"/>
      <c r="D68" s="60"/>
    </row>
    <row r="69" spans="1:4" ht="15.75" hidden="1" x14ac:dyDescent="0.25">
      <c r="A69" s="69" t="s">
        <v>288</v>
      </c>
      <c r="B69" s="98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3527.1450000000004</v>
      </c>
      <c r="C70" s="60"/>
      <c r="D70" s="73"/>
    </row>
    <row r="71" spans="1:4" ht="15.75" x14ac:dyDescent="0.25">
      <c r="A71" s="74" t="s">
        <v>290</v>
      </c>
      <c r="B71" s="11">
        <f>5.06*B15</f>
        <v>13220.262000000001</v>
      </c>
      <c r="C71" s="81"/>
      <c r="D71" s="60"/>
    </row>
    <row r="72" spans="1:4" ht="15.75" x14ac:dyDescent="0.25">
      <c r="A72" s="74" t="s">
        <v>291</v>
      </c>
      <c r="B72" s="11">
        <f>17.68*B15</f>
        <v>46192.536000000007</v>
      </c>
      <c r="C72" s="73"/>
      <c r="D72" s="60"/>
    </row>
    <row r="73" spans="1:4" ht="15.75" x14ac:dyDescent="0.25">
      <c r="A73" s="25" t="s">
        <v>292</v>
      </c>
      <c r="B73" s="11">
        <f>4527*1.04*1.1194*1.0952</f>
        <v>5771.9501483903996</v>
      </c>
      <c r="C73" s="73"/>
      <c r="D73" s="60"/>
    </row>
    <row r="74" spans="1:4" ht="15.75" x14ac:dyDescent="0.25">
      <c r="A74" s="74" t="s">
        <v>293</v>
      </c>
      <c r="B74" s="11">
        <f>38232*1.04*1.1194*1.0952</f>
        <v>48746.012386406393</v>
      </c>
      <c r="C74" s="73"/>
      <c r="D74" s="60"/>
    </row>
    <row r="75" spans="1:4" ht="47.25" x14ac:dyDescent="0.25">
      <c r="A75" s="213" t="s">
        <v>326</v>
      </c>
      <c r="B75" s="121">
        <f>SUM(B76:B76)</f>
        <v>91674.09582771681</v>
      </c>
      <c r="C75" s="73"/>
      <c r="D75" s="60"/>
    </row>
    <row r="76" spans="1:4" ht="15.75" x14ac:dyDescent="0.25">
      <c r="A76" s="74" t="s">
        <v>295</v>
      </c>
      <c r="B76" s="11">
        <f>'[1]34ОЭР'!D140*1.1194*1.0952</f>
        <v>91674.09582771681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98396.784000294749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'[1]34тарифы'!D170*B15*1.1194*1.0952</f>
        <v>69020.495126869879</v>
      </c>
      <c r="C78" s="63"/>
      <c r="D78" s="60"/>
    </row>
    <row r="79" spans="1:4" ht="16.5" thickBot="1" x14ac:dyDescent="0.3">
      <c r="A79" s="35" t="s">
        <v>298</v>
      </c>
      <c r="B79" s="11">
        <f>(B26/1.2)*30%</f>
        <v>9575.2800000000007</v>
      </c>
      <c r="C79" s="65"/>
      <c r="D79" s="73"/>
    </row>
    <row r="80" spans="1:4" ht="15.75" x14ac:dyDescent="0.25">
      <c r="A80" s="83" t="s">
        <v>328</v>
      </c>
      <c r="B80" s="11">
        <f>7575.6+6764.69</f>
        <v>14340.29</v>
      </c>
      <c r="C80" s="81"/>
      <c r="D80" s="60"/>
    </row>
    <row r="81" spans="1:4" ht="15.75" x14ac:dyDescent="0.25">
      <c r="A81" s="83" t="s">
        <v>329</v>
      </c>
      <c r="B81" s="11">
        <f>'[1]34тарифы'!D173*B13*1.1194*1.01</f>
        <v>5460.7188734248621</v>
      </c>
      <c r="C81" s="73"/>
      <c r="D81" s="60"/>
    </row>
    <row r="82" spans="1:4" ht="15.75" x14ac:dyDescent="0.25">
      <c r="A82" s="214" t="s">
        <v>301</v>
      </c>
      <c r="B82" s="14">
        <f>B32+B42+B46+B66+B75+B77</f>
        <v>495195.02417345939</v>
      </c>
      <c r="C82" s="73"/>
      <c r="D82" s="60"/>
    </row>
    <row r="83" spans="1:4" ht="15.75" x14ac:dyDescent="0.25">
      <c r="A83" s="215" t="s">
        <v>302</v>
      </c>
      <c r="B83" s="11">
        <f>B82*0.03</f>
        <v>14855.850725203782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510050.87489866314</v>
      </c>
      <c r="C84" s="73"/>
      <c r="D84" s="60"/>
    </row>
    <row r="85" spans="1:4" ht="16.5" thickBot="1" x14ac:dyDescent="0.3">
      <c r="A85" s="217" t="s">
        <v>304</v>
      </c>
      <c r="B85" s="142">
        <f>B84*0.2</f>
        <v>102010.17497973263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612061.04987839574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125884.13012160431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67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33000000}">
    <filterColumn colId="1">
      <filters>
        <filter val="1 496,44"/>
        <filter val="10 289,19"/>
        <filter val="102 010,17"/>
        <filter val="11 997,93"/>
        <filter val="125 884,13"/>
        <filter val="13 220,26"/>
        <filter val="14 340,29"/>
        <filter val="14 855,85"/>
        <filter val="15 784,47"/>
        <filter val="177 106,49"/>
        <filter val="22 673,82"/>
        <filter val="3 527,15"/>
        <filter val="32 963,01"/>
        <filter val="36 323,69"/>
        <filter val="4 200,00"/>
        <filter val="4 690,96"/>
        <filter val="42 190,20"/>
        <filter val="46 192,54"/>
        <filter val="48 746,01"/>
        <filter val="495 195,02"/>
        <filter val="5 460,72"/>
        <filter val="5 771,95"/>
        <filter val="510 050,87"/>
        <filter val="53,36"/>
        <filter val="58 730,96"/>
        <filter val="59 648,58"/>
        <filter val="6 100,00"/>
        <filter val="612 061,05"/>
        <filter val="69 020,50"/>
        <filter val="8 541,29"/>
        <filter val="9 575,28"/>
        <filter val="91 674,10"/>
        <filter val="98 396,78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2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filterMode="1">
    <pageSetUpPr fitToPage="1"/>
  </sheetPr>
  <dimension ref="A1:G95"/>
  <sheetViews>
    <sheetView view="pageBreakPreview" topLeftCell="A53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117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-139310.31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2016.7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473.8</v>
      </c>
      <c r="C14" s="60"/>
      <c r="D14" s="59"/>
    </row>
    <row r="15" spans="1:4" ht="15.75" hidden="1" x14ac:dyDescent="0.25">
      <c r="A15" s="58" t="s">
        <v>237</v>
      </c>
      <c r="B15" s="11">
        <f>B13+B14</f>
        <v>2490.5</v>
      </c>
      <c r="C15" s="61"/>
      <c r="D15" s="62"/>
    </row>
    <row r="16" spans="1:4" ht="16.5" hidden="1" thickBot="1" x14ac:dyDescent="0.3">
      <c r="A16" s="58" t="s">
        <v>238</v>
      </c>
      <c r="B16" s="11">
        <f>920.1+1406.1/3</f>
        <v>1388.8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0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1369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125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/>
      <c r="F23" s="54"/>
      <c r="G23" s="54"/>
    </row>
    <row r="24" spans="1:7" ht="15.75" x14ac:dyDescent="0.25">
      <c r="A24" s="258" t="s">
        <v>317</v>
      </c>
      <c r="B24" s="255">
        <f>VLOOKUP(A5,мкд!W:X,2,FALSE)</f>
        <v>374789.28</v>
      </c>
      <c r="C24" s="59"/>
      <c r="D24" s="62"/>
      <c r="E24" s="194">
        <v>15.480000016</v>
      </c>
      <c r="F24" s="54"/>
      <c r="G24" s="54"/>
    </row>
    <row r="25" spans="1:7" ht="16.5" thickBot="1" x14ac:dyDescent="0.3">
      <c r="A25" s="64" t="s">
        <v>318</v>
      </c>
      <c r="B25" s="14">
        <f>VLOOKUP(A5,мкд!W:Y,3,FALSE)</f>
        <v>401515.2</v>
      </c>
      <c r="C25" s="63"/>
      <c r="D25" s="62"/>
      <c r="E25" s="54"/>
      <c r="F25" s="54"/>
      <c r="G25" s="54"/>
    </row>
    <row r="26" spans="1:7" ht="15.75" x14ac:dyDescent="0.25">
      <c r="A26" s="64" t="s">
        <v>348</v>
      </c>
      <c r="B26" s="14">
        <v>88124.54</v>
      </c>
      <c r="C26" s="57"/>
      <c r="D26" s="59"/>
      <c r="E26" s="54"/>
      <c r="F26" s="54"/>
      <c r="G26" s="54"/>
    </row>
    <row r="27" spans="1:7" ht="16.5" thickBot="1" x14ac:dyDescent="0.3">
      <c r="A27" s="64" t="s">
        <v>349</v>
      </c>
      <c r="B27" s="14">
        <v>105412.836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7154.31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56504.296097523198</v>
      </c>
      <c r="C32" s="59"/>
      <c r="D32" s="62"/>
      <c r="E32" s="67">
        <f>(B86-B26-B24)/1.2/1.03</f>
        <v>120704.52678498319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f>18494.64*1.1194*1.0952+15000</f>
        <v>37673.816097523202</v>
      </c>
      <c r="C33" s="63"/>
      <c r="D33" s="62">
        <v>26483.85</v>
      </c>
      <c r="E33" s="54"/>
      <c r="F33" s="54"/>
      <c r="G33" s="54"/>
    </row>
    <row r="34" spans="1:7" ht="15.75" hidden="1" x14ac:dyDescent="0.25">
      <c r="A34" s="69" t="s">
        <v>320</v>
      </c>
      <c r="B34" s="11"/>
      <c r="C34" s="57"/>
      <c r="D34" s="59">
        <v>0</v>
      </c>
      <c r="E34" s="54"/>
      <c r="F34" s="54"/>
      <c r="G34" s="54"/>
    </row>
    <row r="35" spans="1:7" ht="15.75" hidden="1" x14ac:dyDescent="0.25">
      <c r="A35" s="69" t="s">
        <v>256</v>
      </c>
      <c r="B35" s="11"/>
      <c r="C35" s="62"/>
      <c r="D35" s="59">
        <v>0</v>
      </c>
      <c r="E35" s="54"/>
      <c r="F35" s="54"/>
      <c r="G35" s="54"/>
    </row>
    <row r="36" spans="1:7" ht="15.75" hidden="1" x14ac:dyDescent="0.25">
      <c r="A36" s="69" t="s">
        <v>255</v>
      </c>
      <c r="B36" s="11"/>
      <c r="C36" s="62" t="s">
        <v>234</v>
      </c>
      <c r="D36" s="59">
        <v>0</v>
      </c>
      <c r="E36" s="54"/>
      <c r="F36" s="54"/>
      <c r="G36" s="54"/>
    </row>
    <row r="37" spans="1:7" ht="15.75" hidden="1" x14ac:dyDescent="0.25">
      <c r="A37" s="69" t="s">
        <v>257</v>
      </c>
      <c r="B37" s="11">
        <v>0</v>
      </c>
      <c r="C37" s="62"/>
      <c r="D37" s="59">
        <v>0</v>
      </c>
      <c r="E37" s="54"/>
      <c r="F37" s="54"/>
      <c r="G37" s="54"/>
    </row>
    <row r="38" spans="1:7" ht="15.75" hidden="1" x14ac:dyDescent="0.25">
      <c r="A38" s="69" t="s">
        <v>258</v>
      </c>
      <c r="B38" s="11">
        <v>0</v>
      </c>
      <c r="C38" s="62"/>
      <c r="D38" s="59">
        <v>0</v>
      </c>
      <c r="E38" s="54"/>
      <c r="F38" s="54"/>
      <c r="G38" s="54"/>
    </row>
    <row r="39" spans="1:7" ht="15.75" hidden="1" x14ac:dyDescent="0.25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6.5" thickBot="1" x14ac:dyDescent="0.3">
      <c r="A40" s="69" t="s">
        <v>338</v>
      </c>
      <c r="B40" s="11">
        <v>18830.48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311</v>
      </c>
      <c r="B41" s="11">
        <v>0</v>
      </c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33939.04982109413</v>
      </c>
      <c r="C42" s="56"/>
      <c r="D42" s="62"/>
      <c r="E42" s="67"/>
      <c r="F42" s="67"/>
      <c r="G42" s="67"/>
    </row>
    <row r="43" spans="1:7" ht="15.75" x14ac:dyDescent="0.25">
      <c r="A43" s="69" t="s">
        <v>262</v>
      </c>
      <c r="B43" s="11">
        <v>8541.2900000000009</v>
      </c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8786.41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('[1]34тарифы'!D163*B15+336.33)*1.1194*1.0952</f>
        <v>16611.349821094125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SUM(B48:B63)</f>
        <v>47724.93</v>
      </c>
      <c r="C46" s="56"/>
      <c r="D46" s="62"/>
    </row>
    <row r="47" spans="1:7" ht="15.75" hidden="1" x14ac:dyDescent="0.25">
      <c r="A47" s="69" t="s">
        <v>324</v>
      </c>
      <c r="B47" s="11">
        <v>0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32">
        <v>1640.16</v>
      </c>
      <c r="C48" s="62"/>
      <c r="D48" s="59"/>
      <c r="E48" s="54" t="s">
        <v>269</v>
      </c>
      <c r="F48" s="54"/>
      <c r="G48" s="54"/>
    </row>
    <row r="49" spans="1:5" ht="15.75" x14ac:dyDescent="0.25">
      <c r="A49" s="75" t="s">
        <v>281</v>
      </c>
      <c r="B49" s="11">
        <v>72.58</v>
      </c>
      <c r="C49" s="62"/>
      <c r="D49" s="59"/>
      <c r="E49" s="54"/>
    </row>
    <row r="50" spans="1:5" ht="15.75" hidden="1" x14ac:dyDescent="0.25">
      <c r="A50" s="75" t="s">
        <v>271</v>
      </c>
      <c r="B50" s="11">
        <v>0</v>
      </c>
      <c r="C50" s="62"/>
      <c r="D50" s="59">
        <v>4190</v>
      </c>
      <c r="E50" s="54"/>
    </row>
    <row r="51" spans="1:5" ht="15.75" hidden="1" x14ac:dyDescent="0.25">
      <c r="A51" s="75" t="s">
        <v>344</v>
      </c>
      <c r="B51" s="11"/>
      <c r="C51" s="62"/>
      <c r="D51" s="59"/>
      <c r="E51" s="54"/>
    </row>
    <row r="52" spans="1:5" ht="15.75" hidden="1" x14ac:dyDescent="0.25">
      <c r="A52" s="75" t="s">
        <v>273</v>
      </c>
      <c r="B52" s="11">
        <f>B21*'[1]34тарифы'!D177</f>
        <v>0</v>
      </c>
      <c r="C52" s="62"/>
      <c r="D52" s="59">
        <v>105.14</v>
      </c>
      <c r="E52" s="54"/>
    </row>
    <row r="53" spans="1:5" ht="15.75" x14ac:dyDescent="0.25">
      <c r="A53" s="75" t="s">
        <v>480</v>
      </c>
      <c r="B53" s="11">
        <v>6100</v>
      </c>
      <c r="C53" s="62">
        <v>0</v>
      </c>
      <c r="D53" s="59">
        <v>522.99</v>
      </c>
      <c r="E53" s="54"/>
    </row>
    <row r="54" spans="1:5" ht="15.75" hidden="1" x14ac:dyDescent="0.25">
      <c r="A54" s="95" t="s">
        <v>345</v>
      </c>
      <c r="B54" s="11"/>
      <c r="C54" s="62">
        <v>1</v>
      </c>
      <c r="D54" s="76">
        <v>657.53</v>
      </c>
      <c r="E54" s="54"/>
    </row>
    <row r="55" spans="1:5" ht="15.75" hidden="1" x14ac:dyDescent="0.25">
      <c r="A55" s="75" t="s">
        <v>276</v>
      </c>
      <c r="B55" s="11">
        <v>0</v>
      </c>
      <c r="C55" s="62"/>
      <c r="D55" s="76"/>
      <c r="E55" s="54"/>
    </row>
    <row r="56" spans="1:5" ht="15.75" hidden="1" x14ac:dyDescent="0.25">
      <c r="A56" s="75" t="s">
        <v>277</v>
      </c>
      <c r="B56" s="11">
        <v>0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312</v>
      </c>
      <c r="B57" s="11">
        <v>0</v>
      </c>
      <c r="C57" s="62">
        <v>0</v>
      </c>
      <c r="D57" s="59">
        <f>2300/1.18</f>
        <v>1949.1525423728815</v>
      </c>
      <c r="E57" s="54"/>
    </row>
    <row r="58" spans="1:5" ht="15.75" hidden="1" x14ac:dyDescent="0.25">
      <c r="A58" s="75" t="s">
        <v>313</v>
      </c>
      <c r="B58" s="11">
        <v>0</v>
      </c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</row>
    <row r="60" spans="1:5" ht="15.75" hidden="1" x14ac:dyDescent="0.25">
      <c r="A60" s="69" t="s">
        <v>279</v>
      </c>
      <c r="B60" s="11">
        <v>0</v>
      </c>
      <c r="C60" s="57"/>
      <c r="D60" s="59"/>
      <c r="E60" s="54"/>
    </row>
    <row r="61" spans="1:5" ht="15.75" x14ac:dyDescent="0.25">
      <c r="A61" s="69" t="s">
        <v>520</v>
      </c>
      <c r="B61" s="11">
        <v>4200</v>
      </c>
      <c r="C61" s="62"/>
      <c r="D61" s="59">
        <v>0</v>
      </c>
      <c r="E61" s="54"/>
    </row>
    <row r="62" spans="1:5" ht="15.75" hidden="1" x14ac:dyDescent="0.25">
      <c r="A62" s="69" t="s">
        <v>403</v>
      </c>
      <c r="B62" s="11">
        <v>0</v>
      </c>
      <c r="C62" s="62"/>
      <c r="D62" s="59">
        <v>0</v>
      </c>
      <c r="E62" s="54"/>
    </row>
    <row r="63" spans="1:5" ht="16.5" thickBot="1" x14ac:dyDescent="0.3">
      <c r="A63" s="69" t="s">
        <v>337</v>
      </c>
      <c r="B63" s="132">
        <v>35712.19</v>
      </c>
      <c r="C63" s="78">
        <v>0</v>
      </c>
      <c r="D63" s="59">
        <v>0</v>
      </c>
      <c r="E63" s="54">
        <v>0</v>
      </c>
    </row>
    <row r="64" spans="1:5" ht="16.5" hidden="1" thickBot="1" x14ac:dyDescent="0.3">
      <c r="A64" s="69" t="s">
        <v>283</v>
      </c>
      <c r="B64" s="132">
        <v>0</v>
      </c>
      <c r="C64" s="79">
        <v>52</v>
      </c>
      <c r="D64" s="62">
        <v>2</v>
      </c>
      <c r="E64" s="54">
        <v>1</v>
      </c>
    </row>
    <row r="65" spans="1:4" s="55" customFormat="1" ht="16.5" hidden="1" thickBot="1" x14ac:dyDescent="0.3">
      <c r="A65" s="69" t="s">
        <v>284</v>
      </c>
      <c r="B65" s="132">
        <v>0</v>
      </c>
      <c r="C65" s="80"/>
      <c r="D65" s="73">
        <v>0</v>
      </c>
    </row>
    <row r="66" spans="1:4" s="55" customFormat="1" ht="16.5" thickBot="1" x14ac:dyDescent="0.3">
      <c r="A66" s="175" t="s">
        <v>285</v>
      </c>
      <c r="B66" s="121">
        <f>SUM(B67:B74)</f>
        <v>176410.52721753597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50545*1.04*1.1194*1.0952</f>
        <v>64445.155787584001</v>
      </c>
      <c r="C68" s="56"/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3362.1750000000002</v>
      </c>
      <c r="C70" s="60"/>
      <c r="D70" s="73"/>
    </row>
    <row r="71" spans="1:4" ht="15.75" x14ac:dyDescent="0.25">
      <c r="A71" s="74" t="s">
        <v>290</v>
      </c>
      <c r="B71" s="11">
        <f>5.06*B15</f>
        <v>12601.929999999998</v>
      </c>
      <c r="C71" s="81"/>
      <c r="D71" s="60"/>
    </row>
    <row r="72" spans="1:4" ht="15.75" x14ac:dyDescent="0.25">
      <c r="A72" s="74" t="s">
        <v>291</v>
      </c>
      <c r="B72" s="11">
        <f>17.68*B15</f>
        <v>44032.04</v>
      </c>
      <c r="C72" s="73"/>
      <c r="D72" s="60"/>
    </row>
    <row r="73" spans="1:4" ht="15.75" x14ac:dyDescent="0.25">
      <c r="A73" s="25" t="s">
        <v>292</v>
      </c>
      <c r="B73" s="11">
        <f>4316*1.04*1.1194*1.0952</f>
        <v>5502.9239762431998</v>
      </c>
      <c r="C73" s="73"/>
      <c r="D73" s="60"/>
    </row>
    <row r="74" spans="1:4" ht="15.75" x14ac:dyDescent="0.25">
      <c r="A74" s="74" t="s">
        <v>293</v>
      </c>
      <c r="B74" s="11">
        <f>36444*1.04*1.1194*1.0952</f>
        <v>46466.302453708799</v>
      </c>
      <c r="C74" s="73"/>
      <c r="D74" s="60"/>
    </row>
    <row r="75" spans="1:4" ht="47.25" x14ac:dyDescent="0.25">
      <c r="A75" s="213" t="s">
        <v>326</v>
      </c>
      <c r="B75" s="121">
        <f>SUM(B76:B76)</f>
        <v>75126.640276222723</v>
      </c>
      <c r="C75" s="73"/>
      <c r="D75" s="60"/>
    </row>
    <row r="76" spans="1:4" ht="15.75" x14ac:dyDescent="0.25">
      <c r="A76" s="74" t="s">
        <v>295</v>
      </c>
      <c r="B76" s="11">
        <f>'[1]34ОЭР'!D142*1.1194*1.0952</f>
        <v>75126.640276222723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105524.82770917674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'[1]34тарифы'!D170*B15*1.1194*1.0952</f>
        <v>65792.300345799144</v>
      </c>
      <c r="C78" s="63"/>
      <c r="D78" s="60"/>
    </row>
    <row r="79" spans="1:4" ht="16.5" thickBot="1" x14ac:dyDescent="0.3">
      <c r="A79" s="35" t="s">
        <v>298</v>
      </c>
      <c r="B79" s="11">
        <f>(B26/1.2)*30%</f>
        <v>22031.134999999998</v>
      </c>
      <c r="C79" s="65"/>
      <c r="D79" s="73"/>
    </row>
    <row r="80" spans="1:4" ht="15.75" x14ac:dyDescent="0.25">
      <c r="A80" s="83" t="s">
        <v>328</v>
      </c>
      <c r="B80" s="11">
        <f>6531.3+6695.05</f>
        <v>13226.35</v>
      </c>
      <c r="C80" s="81"/>
      <c r="D80" s="60"/>
    </row>
    <row r="81" spans="1:4" ht="15.75" x14ac:dyDescent="0.25">
      <c r="A81" s="83" t="s">
        <v>329</v>
      </c>
      <c r="B81" s="11">
        <f>'[1]34тарифы'!D173*B13*1.1194*1.01</f>
        <v>4475.0423633775936</v>
      </c>
      <c r="C81" s="73"/>
      <c r="D81" s="60"/>
    </row>
    <row r="82" spans="1:4" ht="15.75" x14ac:dyDescent="0.25">
      <c r="A82" s="214" t="s">
        <v>301</v>
      </c>
      <c r="B82" s="14">
        <f>B32+B42+B46+B66+B75+B77</f>
        <v>495230.27112155274</v>
      </c>
      <c r="C82" s="73"/>
      <c r="D82" s="60"/>
    </row>
    <row r="83" spans="1:4" ht="15.75" x14ac:dyDescent="0.25">
      <c r="A83" s="215" t="s">
        <v>302</v>
      </c>
      <c r="B83" s="11">
        <f>B82*0.03</f>
        <v>14856.908133646582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510087.17925519933</v>
      </c>
      <c r="C84" s="73"/>
      <c r="D84" s="60"/>
    </row>
    <row r="85" spans="1:4" ht="16.5" thickBot="1" x14ac:dyDescent="0.3">
      <c r="A85" s="217" t="s">
        <v>304</v>
      </c>
      <c r="B85" s="142">
        <f>B84*0.2</f>
        <v>102017.43585103987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612104.61510623922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-281346.79510623921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34000000}">
    <filterColumn colId="1">
      <filters>
        <filter val="1 640,16"/>
        <filter val="102 017,44"/>
        <filter val="105 524,83"/>
        <filter val="12 601,93"/>
        <filter val="13 226,35"/>
        <filter val="14 856,91"/>
        <filter val="16 611,35"/>
        <filter val="176 410,53"/>
        <filter val="18 830,48"/>
        <filter val="22 031,14"/>
        <filter val="-281 346,80"/>
        <filter val="3 362,18"/>
        <filter val="33 939,05"/>
        <filter val="35 712,19"/>
        <filter val="37 673,82"/>
        <filter val="4 200,00"/>
        <filter val="4 475,04"/>
        <filter val="44 032,04"/>
        <filter val="46 466,30"/>
        <filter val="47 724,93"/>
        <filter val="495 230,27"/>
        <filter val="5 502,92"/>
        <filter val="510 087,18"/>
        <filter val="56 504,30"/>
        <filter val="6 100,00"/>
        <filter val="612 104,62"/>
        <filter val="64 445,16"/>
        <filter val="65 792,30"/>
        <filter val="72,58"/>
        <filter val="75 126,64"/>
        <filter val="8 541,29"/>
        <filter val="8 786,41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filterMode="1">
    <pageSetUpPr fitToPage="1"/>
  </sheetPr>
  <dimension ref="A1:H95"/>
  <sheetViews>
    <sheetView view="pageBreakPreview" topLeftCell="A76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8" ht="16.5" customHeight="1" x14ac:dyDescent="0.25">
      <c r="A1" s="280" t="s">
        <v>224</v>
      </c>
      <c r="B1" s="280"/>
      <c r="C1" s="54"/>
      <c r="D1" s="54"/>
      <c r="E1" s="54"/>
      <c r="F1" s="54"/>
      <c r="G1" s="54"/>
      <c r="H1" s="54"/>
    </row>
    <row r="2" spans="1:8" ht="16.5" x14ac:dyDescent="0.25">
      <c r="A2" s="281" t="s">
        <v>225</v>
      </c>
      <c r="B2" s="281"/>
      <c r="C2" s="54"/>
      <c r="D2" s="54"/>
      <c r="E2" s="54"/>
      <c r="F2" s="54"/>
      <c r="G2" s="54"/>
      <c r="H2" s="54"/>
    </row>
    <row r="3" spans="1:8" ht="16.5" x14ac:dyDescent="0.25">
      <c r="A3" s="281" t="s">
        <v>226</v>
      </c>
      <c r="B3" s="281"/>
      <c r="C3" s="54"/>
      <c r="D3" s="54"/>
      <c r="E3" s="54"/>
      <c r="F3" s="54"/>
      <c r="G3" s="54"/>
      <c r="H3" s="54"/>
    </row>
    <row r="4" spans="1:8" ht="15.75" x14ac:dyDescent="0.25">
      <c r="A4" s="201" t="s">
        <v>494</v>
      </c>
      <c r="B4" s="201"/>
      <c r="C4" s="54"/>
      <c r="D4" s="54"/>
      <c r="E4" s="54"/>
      <c r="F4" s="54"/>
      <c r="G4" s="54"/>
      <c r="H4" s="54"/>
    </row>
    <row r="5" spans="1:8" ht="15.75" x14ac:dyDescent="0.25">
      <c r="A5" s="201" t="s">
        <v>118</v>
      </c>
      <c r="B5" s="201"/>
      <c r="C5" s="54"/>
      <c r="D5" s="54"/>
      <c r="E5" s="54"/>
      <c r="F5" s="54"/>
      <c r="G5" s="54"/>
      <c r="H5" s="54"/>
    </row>
    <row r="6" spans="1:8" ht="5.25" customHeight="1" x14ac:dyDescent="0.25">
      <c r="A6" s="201"/>
      <c r="B6" s="4"/>
      <c r="C6" s="55"/>
      <c r="D6" s="54"/>
      <c r="E6" s="54"/>
      <c r="F6" s="54"/>
      <c r="G6" s="54"/>
      <c r="H6" s="54"/>
    </row>
    <row r="7" spans="1:8" ht="16.5" thickBot="1" x14ac:dyDescent="0.3">
      <c r="A7" s="202"/>
      <c r="B7" s="4"/>
      <c r="C7" s="55"/>
      <c r="D7" s="54"/>
      <c r="E7" s="54"/>
      <c r="F7" s="54"/>
      <c r="G7" s="54"/>
      <c r="H7" s="54"/>
    </row>
    <row r="8" spans="1:8" ht="15.75" customHeight="1" x14ac:dyDescent="0.25">
      <c r="A8" s="282" t="s">
        <v>227</v>
      </c>
      <c r="B8" s="273" t="s">
        <v>228</v>
      </c>
      <c r="C8" s="284" t="s">
        <v>229</v>
      </c>
      <c r="D8" s="275" t="s">
        <v>230</v>
      </c>
      <c r="E8" s="54"/>
      <c r="F8" s="54"/>
      <c r="G8" s="54"/>
      <c r="H8" s="54"/>
    </row>
    <row r="9" spans="1:8" ht="16.5" thickBot="1" x14ac:dyDescent="0.3">
      <c r="A9" s="283"/>
      <c r="B9" s="274"/>
      <c r="C9" s="285"/>
      <c r="D9" s="276"/>
      <c r="E9" s="54"/>
      <c r="F9" s="54"/>
      <c r="G9" s="54"/>
      <c r="H9" s="54">
        <v>0</v>
      </c>
    </row>
    <row r="10" spans="1:8" ht="16.5" thickBot="1" x14ac:dyDescent="0.3">
      <c r="A10" s="203" t="s">
        <v>231</v>
      </c>
      <c r="B10" s="204">
        <f>VLOOKUP(A5,мкд!S:T,2,FALSE)</f>
        <v>442995.16</v>
      </c>
      <c r="C10" s="205"/>
      <c r="D10" s="206"/>
      <c r="E10" s="54"/>
      <c r="F10" s="54"/>
      <c r="G10" s="54"/>
      <c r="H10" s="54"/>
    </row>
    <row r="11" spans="1:8" ht="16.5" hidden="1" thickBot="1" x14ac:dyDescent="0.3">
      <c r="A11" s="207" t="s">
        <v>232</v>
      </c>
      <c r="B11" s="204"/>
      <c r="C11" s="206"/>
      <c r="D11" s="208"/>
      <c r="E11" s="54"/>
      <c r="F11" s="54"/>
      <c r="G11" s="54"/>
      <c r="H11" s="54"/>
    </row>
    <row r="12" spans="1:8" ht="16.5" thickBot="1" x14ac:dyDescent="0.3">
      <c r="A12" s="209" t="s">
        <v>233</v>
      </c>
      <c r="B12" s="210"/>
      <c r="C12" s="56" t="s">
        <v>234</v>
      </c>
      <c r="D12" s="57" t="s">
        <v>234</v>
      </c>
      <c r="E12" s="54"/>
      <c r="F12" s="54"/>
      <c r="G12" s="54"/>
      <c r="H12" s="54"/>
    </row>
    <row r="13" spans="1:8" ht="15.75" hidden="1" x14ac:dyDescent="0.25">
      <c r="A13" s="58" t="s">
        <v>235</v>
      </c>
      <c r="B13" s="11">
        <v>4020.8</v>
      </c>
      <c r="C13" s="57" t="s">
        <v>234</v>
      </c>
      <c r="D13" s="59" t="s">
        <v>234</v>
      </c>
      <c r="E13" s="54"/>
      <c r="F13" s="54"/>
      <c r="G13" s="54"/>
      <c r="H13" s="54"/>
    </row>
    <row r="14" spans="1:8" ht="16.5" hidden="1" thickBot="1" x14ac:dyDescent="0.3">
      <c r="A14" s="58" t="s">
        <v>236</v>
      </c>
      <c r="B14" s="11">
        <v>725.4</v>
      </c>
      <c r="C14" s="60"/>
      <c r="D14" s="59"/>
      <c r="E14" s="54"/>
      <c r="F14" s="54"/>
      <c r="G14" s="54"/>
      <c r="H14" s="54"/>
    </row>
    <row r="15" spans="1:8" ht="15.75" hidden="1" x14ac:dyDescent="0.25">
      <c r="A15" s="58" t="s">
        <v>237</v>
      </c>
      <c r="B15" s="11">
        <f>B13+B14</f>
        <v>4746.2</v>
      </c>
      <c r="C15" s="61"/>
      <c r="D15" s="62"/>
      <c r="E15" s="54"/>
      <c r="F15" s="54"/>
      <c r="G15" s="54"/>
      <c r="H15" s="54"/>
    </row>
    <row r="16" spans="1:8" ht="16.5" hidden="1" thickBot="1" x14ac:dyDescent="0.3">
      <c r="A16" s="58" t="s">
        <v>238</v>
      </c>
      <c r="B16" s="11">
        <f>1369.8+1505.1/3</f>
        <v>1871.5</v>
      </c>
      <c r="C16" s="63" t="s">
        <v>234</v>
      </c>
      <c r="D16" s="62" t="s">
        <v>234</v>
      </c>
      <c r="E16" s="54"/>
      <c r="F16" s="54"/>
      <c r="G16" s="54"/>
      <c r="H16" s="54"/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355.6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1111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783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2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208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/>
      <c r="F23" s="54"/>
      <c r="G23" s="54"/>
    </row>
    <row r="24" spans="1:7" ht="15.75" x14ac:dyDescent="0.25">
      <c r="A24" s="258" t="s">
        <v>317</v>
      </c>
      <c r="B24" s="255">
        <f>VLOOKUP(A5,мкд!W:X,2,FALSE)</f>
        <v>1021163.88</v>
      </c>
      <c r="C24" s="59"/>
      <c r="D24" s="62"/>
      <c r="E24" s="194">
        <v>19.689999999999998</v>
      </c>
      <c r="F24" s="54"/>
      <c r="G24" s="54"/>
    </row>
    <row r="25" spans="1:7" ht="16.5" thickBot="1" x14ac:dyDescent="0.3">
      <c r="A25" s="64" t="s">
        <v>318</v>
      </c>
      <c r="B25" s="14">
        <f>VLOOKUP(A5,мкд!W:Y,3,FALSE)</f>
        <v>1007768.62</v>
      </c>
      <c r="C25" s="63"/>
      <c r="D25" s="62"/>
      <c r="E25" s="54"/>
      <c r="F25" s="54"/>
      <c r="G25" s="54"/>
    </row>
    <row r="26" spans="1:7" ht="15.75" x14ac:dyDescent="0.25">
      <c r="A26" s="64" t="s">
        <v>348</v>
      </c>
      <c r="B26" s="14">
        <v>171373.88</v>
      </c>
      <c r="C26" s="57"/>
      <c r="D26" s="59"/>
      <c r="E26" s="54"/>
      <c r="F26" s="54"/>
      <c r="G26" s="54"/>
    </row>
    <row r="27" spans="1:7" ht="16.5" thickBot="1" x14ac:dyDescent="0.3">
      <c r="A27" s="64" t="s">
        <v>349</v>
      </c>
      <c r="B27" s="14">
        <v>184379.55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7154.31</v>
      </c>
      <c r="C28" s="56"/>
      <c r="D28" s="62"/>
      <c r="E28" s="54"/>
      <c r="F28" s="54"/>
      <c r="G28" s="54"/>
    </row>
    <row r="29" spans="1:7" ht="16.5" thickBot="1" x14ac:dyDescent="0.3">
      <c r="A29" s="64" t="s">
        <v>548</v>
      </c>
      <c r="B29" s="14">
        <v>30000</v>
      </c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252977.49041200001</v>
      </c>
      <c r="C32" s="59"/>
      <c r="D32" s="62"/>
      <c r="E32" s="67">
        <f>(B86-B26-B24)/1.2/1.03</f>
        <v>274384.64377986663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f>32661.98*1.1194+15256</f>
        <v>51817.820412000001</v>
      </c>
      <c r="C33" s="63"/>
      <c r="D33" s="62">
        <v>23019.61</v>
      </c>
      <c r="E33" s="54"/>
      <c r="F33" s="54"/>
      <c r="G33" s="54"/>
    </row>
    <row r="34" spans="1:7" ht="15.75" hidden="1" x14ac:dyDescent="0.25">
      <c r="A34" s="69" t="s">
        <v>320</v>
      </c>
      <c r="B34" s="11"/>
      <c r="C34" s="57"/>
      <c r="D34" s="59">
        <v>0</v>
      </c>
      <c r="E34" s="54"/>
      <c r="F34" s="54"/>
      <c r="G34" s="54"/>
    </row>
    <row r="35" spans="1:7" ht="15.75" x14ac:dyDescent="0.25">
      <c r="A35" s="69" t="s">
        <v>256</v>
      </c>
      <c r="B35" s="11">
        <v>8603.8700000000008</v>
      </c>
      <c r="C35" s="62"/>
      <c r="D35" s="59">
        <v>0</v>
      </c>
      <c r="E35" s="54"/>
      <c r="F35" s="54"/>
      <c r="G35" s="54"/>
    </row>
    <row r="36" spans="1:7" ht="15.75" x14ac:dyDescent="0.25">
      <c r="A36" s="69" t="s">
        <v>255</v>
      </c>
      <c r="B36" s="11">
        <v>83697.61</v>
      </c>
      <c r="C36" s="62" t="s">
        <v>234</v>
      </c>
      <c r="D36" s="59">
        <v>0</v>
      </c>
      <c r="E36" s="54"/>
      <c r="F36" s="54"/>
      <c r="G36" s="54"/>
    </row>
    <row r="37" spans="1:7" ht="15.75" hidden="1" x14ac:dyDescent="0.25">
      <c r="A37" s="69" t="s">
        <v>257</v>
      </c>
      <c r="B37" s="11"/>
      <c r="C37" s="62"/>
      <c r="D37" s="59">
        <v>0</v>
      </c>
      <c r="E37" s="54"/>
      <c r="F37" s="54"/>
      <c r="G37" s="54"/>
    </row>
    <row r="38" spans="1:7" ht="16.5" thickBot="1" x14ac:dyDescent="0.3">
      <c r="A38" s="172" t="s">
        <v>539</v>
      </c>
      <c r="B38" s="11">
        <v>108858.19</v>
      </c>
      <c r="C38" s="62"/>
      <c r="D38" s="59">
        <v>0</v>
      </c>
      <c r="E38" s="54"/>
      <c r="F38" s="54"/>
      <c r="G38" s="54"/>
    </row>
    <row r="39" spans="1:7" ht="16.5" hidden="1" thickBot="1" x14ac:dyDescent="0.3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6.5" hidden="1" thickBot="1" x14ac:dyDescent="0.3">
      <c r="A40" s="69" t="s">
        <v>310</v>
      </c>
      <c r="B40" s="11">
        <v>0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257</v>
      </c>
      <c r="B41" s="11"/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82618.165397618155</v>
      </c>
      <c r="C42" s="56"/>
      <c r="D42" s="62"/>
      <c r="E42" s="67"/>
      <c r="F42" s="67"/>
      <c r="G42" s="67"/>
    </row>
    <row r="43" spans="1:7" ht="15.75" hidden="1" x14ac:dyDescent="0.25">
      <c r="A43" s="69" t="s">
        <v>262</v>
      </c>
      <c r="B43" s="11"/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49429.760000000009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('[1]34тарифы'!D163*B15+1257.85+632.56)*1.1194*1.0952</f>
        <v>33188.405397618146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258559.92999999996</v>
      </c>
      <c r="C46" s="56"/>
      <c r="D46" s="62"/>
    </row>
    <row r="47" spans="1:7" ht="15.75" x14ac:dyDescent="0.25">
      <c r="A47" s="69" t="s">
        <v>324</v>
      </c>
      <c r="B47" s="162">
        <v>1493.52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62">
        <v>1813.56</v>
      </c>
      <c r="C48" s="62"/>
      <c r="D48" s="59"/>
      <c r="E48" s="54" t="s">
        <v>269</v>
      </c>
      <c r="F48" s="54"/>
      <c r="G48" s="54"/>
    </row>
    <row r="49" spans="1:5" ht="15.75" x14ac:dyDescent="0.25">
      <c r="A49" s="75" t="s">
        <v>270</v>
      </c>
      <c r="B49" s="162">
        <v>134451.78</v>
      </c>
      <c r="C49" s="62">
        <v>2</v>
      </c>
      <c r="D49" s="59">
        <f>4379.38*2</f>
        <v>8758.76</v>
      </c>
      <c r="E49" s="54"/>
    </row>
    <row r="50" spans="1:5" ht="15.75" x14ac:dyDescent="0.25">
      <c r="A50" s="75" t="s">
        <v>271</v>
      </c>
      <c r="B50" s="162">
        <v>9800</v>
      </c>
      <c r="C50" s="62">
        <v>2</v>
      </c>
      <c r="D50" s="59">
        <v>4190</v>
      </c>
      <c r="E50" s="54">
        <f>D50*C50*12</f>
        <v>100560</v>
      </c>
    </row>
    <row r="51" spans="1:5" ht="15.75" x14ac:dyDescent="0.25">
      <c r="A51" s="75" t="s">
        <v>518</v>
      </c>
      <c r="B51" s="11">
        <v>16371.52</v>
      </c>
      <c r="C51" s="62">
        <v>2</v>
      </c>
      <c r="D51" s="59">
        <v>13973</v>
      </c>
      <c r="E51" s="54"/>
    </row>
    <row r="52" spans="1:5" ht="15.75" hidden="1" x14ac:dyDescent="0.25">
      <c r="A52" s="75" t="s">
        <v>343</v>
      </c>
      <c r="B52" s="11"/>
      <c r="C52" s="62">
        <v>2</v>
      </c>
      <c r="D52" s="59">
        <v>105.14</v>
      </c>
      <c r="E52" s="54"/>
    </row>
    <row r="53" spans="1:5" ht="15.75" hidden="1" x14ac:dyDescent="0.25">
      <c r="A53" s="75" t="s">
        <v>274</v>
      </c>
      <c r="B53" s="11">
        <v>0</v>
      </c>
      <c r="C53" s="62">
        <v>0</v>
      </c>
      <c r="D53" s="59">
        <v>522.99</v>
      </c>
      <c r="E53" s="54"/>
    </row>
    <row r="54" spans="1:5" ht="15.75" x14ac:dyDescent="0.25">
      <c r="A54" s="95" t="s">
        <v>275</v>
      </c>
      <c r="B54" s="162">
        <v>8133.61</v>
      </c>
      <c r="C54" s="62">
        <v>1</v>
      </c>
      <c r="D54" s="76">
        <v>695.13</v>
      </c>
      <c r="E54" s="54"/>
    </row>
    <row r="55" spans="1:5" ht="15.75" hidden="1" x14ac:dyDescent="0.25">
      <c r="A55" s="75" t="s">
        <v>276</v>
      </c>
      <c r="B55" s="11">
        <v>0</v>
      </c>
      <c r="C55" s="62"/>
      <c r="D55" s="76"/>
      <c r="E55" s="54"/>
    </row>
    <row r="56" spans="1:5" ht="15.75" x14ac:dyDescent="0.25">
      <c r="A56" s="75" t="s">
        <v>479</v>
      </c>
      <c r="B56" s="162">
        <v>50400</v>
      </c>
      <c r="C56" s="62">
        <v>0</v>
      </c>
      <c r="D56" s="59">
        <f>10695.76/1.18</f>
        <v>9064.203389830509</v>
      </c>
      <c r="E56" s="54"/>
    </row>
    <row r="57" spans="1:5" ht="16.5" thickBot="1" x14ac:dyDescent="0.3">
      <c r="A57" s="75" t="s">
        <v>520</v>
      </c>
      <c r="B57" s="162">
        <v>4200</v>
      </c>
      <c r="C57" s="62">
        <v>0</v>
      </c>
      <c r="D57" s="59">
        <f>2300/1.18</f>
        <v>1949.1525423728815</v>
      </c>
      <c r="E57" s="54"/>
    </row>
    <row r="58" spans="1:5" ht="16.5" hidden="1" thickBot="1" x14ac:dyDescent="0.3">
      <c r="A58" s="75" t="s">
        <v>313</v>
      </c>
      <c r="B58" s="11">
        <v>0</v>
      </c>
      <c r="C58" s="60">
        <v>0</v>
      </c>
      <c r="D58" s="59">
        <v>0</v>
      </c>
      <c r="E58" s="54"/>
    </row>
    <row r="59" spans="1:5" ht="16.5" thickBot="1" x14ac:dyDescent="0.3">
      <c r="A59" s="75" t="s">
        <v>356</v>
      </c>
      <c r="B59" s="11">
        <f>502.02+18239.05</f>
        <v>18741.07</v>
      </c>
      <c r="C59" s="56"/>
      <c r="D59" s="62"/>
      <c r="E59" s="54"/>
    </row>
    <row r="60" spans="1:5" ht="15.75" hidden="1" x14ac:dyDescent="0.25">
      <c r="A60" s="69" t="s">
        <v>279</v>
      </c>
      <c r="B60" s="11">
        <v>0</v>
      </c>
      <c r="C60" s="57"/>
      <c r="D60" s="59"/>
      <c r="E60" s="54"/>
    </row>
    <row r="61" spans="1:5" ht="15.75" hidden="1" x14ac:dyDescent="0.25">
      <c r="A61" s="69" t="s">
        <v>280</v>
      </c>
      <c r="B61" s="11">
        <v>0</v>
      </c>
      <c r="C61" s="62"/>
      <c r="D61" s="59">
        <v>0</v>
      </c>
      <c r="E61" s="54"/>
    </row>
    <row r="62" spans="1:5" ht="15.75" hidden="1" x14ac:dyDescent="0.25">
      <c r="A62" s="69" t="s">
        <v>388</v>
      </c>
      <c r="B62" s="11"/>
      <c r="C62" s="62"/>
      <c r="D62" s="59">
        <v>0</v>
      </c>
      <c r="E62" s="54"/>
    </row>
    <row r="63" spans="1:5" ht="16.5" thickBot="1" x14ac:dyDescent="0.3">
      <c r="A63" s="69" t="s">
        <v>337</v>
      </c>
      <c r="B63" s="162">
        <v>13154.87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74</v>
      </c>
      <c r="D64" s="62">
        <v>2</v>
      </c>
      <c r="E64" s="54"/>
    </row>
    <row r="65" spans="1:4" s="55" customFormat="1" ht="16.5" hidden="1" thickBot="1" x14ac:dyDescent="0.3">
      <c r="A65" s="69" t="s">
        <v>284</v>
      </c>
      <c r="B65" s="132">
        <v>0</v>
      </c>
      <c r="C65" s="80"/>
      <c r="D65" s="73">
        <v>0</v>
      </c>
    </row>
    <row r="66" spans="1:4" s="55" customFormat="1" ht="16.5" thickBot="1" x14ac:dyDescent="0.3">
      <c r="A66" s="175" t="s">
        <v>285</v>
      </c>
      <c r="B66" s="121">
        <f>SUM(B67:B74)</f>
        <v>300394.96865922562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68251*1.04*1.1194*1.0952</f>
        <v>87020.404147955211</v>
      </c>
      <c r="C68" s="56">
        <f>B68/B16</f>
        <v>46.497677877614329</v>
      </c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6407.37</v>
      </c>
      <c r="C70" s="60"/>
      <c r="D70" s="73"/>
    </row>
    <row r="71" spans="1:4" ht="15.75" x14ac:dyDescent="0.25">
      <c r="A71" s="74" t="s">
        <v>290</v>
      </c>
      <c r="B71" s="11">
        <f>5.06*B15</f>
        <v>24015.771999999997</v>
      </c>
      <c r="C71" s="81"/>
      <c r="D71" s="60"/>
    </row>
    <row r="72" spans="1:4" ht="15.75" x14ac:dyDescent="0.25">
      <c r="A72" s="74" t="s">
        <v>291</v>
      </c>
      <c r="B72" s="11">
        <f>17.68*B15</f>
        <v>83912.815999999992</v>
      </c>
      <c r="C72" s="73"/>
      <c r="D72" s="60"/>
    </row>
    <row r="73" spans="1:4" ht="15.75" x14ac:dyDescent="0.25">
      <c r="A73" s="25" t="s">
        <v>292</v>
      </c>
      <c r="B73" s="11">
        <f>8225*1.04*1.1194*1.0952</f>
        <v>10486.920691519999</v>
      </c>
      <c r="C73" s="73"/>
      <c r="D73" s="60"/>
    </row>
    <row r="74" spans="1:4" ht="15.75" x14ac:dyDescent="0.25">
      <c r="A74" s="74" t="s">
        <v>293</v>
      </c>
      <c r="B74" s="11">
        <f>69452*1.04*1.1194*1.0952</f>
        <v>88551.68581975039</v>
      </c>
      <c r="C74" s="73"/>
      <c r="D74" s="60"/>
    </row>
    <row r="75" spans="1:4" ht="47.25" x14ac:dyDescent="0.25">
      <c r="A75" s="213" t="s">
        <v>326</v>
      </c>
      <c r="B75" s="121">
        <f>SUM(B76:B76)</f>
        <v>149783.90202937287</v>
      </c>
      <c r="C75" s="73"/>
      <c r="D75" s="60"/>
    </row>
    <row r="76" spans="1:4" ht="15.75" x14ac:dyDescent="0.25">
      <c r="A76" s="74" t="s">
        <v>295</v>
      </c>
      <c r="B76" s="11">
        <f>'[1]34ОЭР'!D143*1.1194*1.0952</f>
        <v>149783.90202937287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194886.56268618064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'[1]34тарифы'!D170*B15*1.1194*1.0952</f>
        <v>125381.81726610394</v>
      </c>
      <c r="C78" s="63"/>
      <c r="D78" s="60"/>
    </row>
    <row r="79" spans="1:4" ht="16.5" thickBot="1" x14ac:dyDescent="0.3">
      <c r="A79" s="35" t="s">
        <v>298</v>
      </c>
      <c r="B79" s="11">
        <f>(B26/1.2)*30%</f>
        <v>42843.47</v>
      </c>
      <c r="C79" s="65"/>
      <c r="D79" s="73"/>
    </row>
    <row r="80" spans="1:4" ht="15.75" x14ac:dyDescent="0.25">
      <c r="A80" s="83" t="s">
        <v>328</v>
      </c>
      <c r="B80" s="11">
        <f>10183.61+7555.54</f>
        <v>17739.150000000001</v>
      </c>
      <c r="C80" s="81"/>
      <c r="D80" s="60"/>
    </row>
    <row r="81" spans="1:4" ht="15.75" x14ac:dyDescent="0.25">
      <c r="A81" s="83" t="s">
        <v>329</v>
      </c>
      <c r="B81" s="11">
        <f>'[1]34тарифы'!D173*B13*1.1194*1.01</f>
        <v>8922.1254200766743</v>
      </c>
      <c r="C81" s="73"/>
      <c r="D81" s="60"/>
    </row>
    <row r="82" spans="1:4" ht="15.75" x14ac:dyDescent="0.25">
      <c r="A82" s="214" t="s">
        <v>301</v>
      </c>
      <c r="B82" s="14">
        <f>B32+B42+B46+B66+B75+B77</f>
        <v>1239221.0191843973</v>
      </c>
      <c r="C82" s="73"/>
      <c r="D82" s="60"/>
    </row>
    <row r="83" spans="1:4" ht="15.75" x14ac:dyDescent="0.25">
      <c r="A83" s="215" t="s">
        <v>302</v>
      </c>
      <c r="B83" s="11">
        <f>B82*0.03</f>
        <v>37176.630575531919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1276397.6497599292</v>
      </c>
      <c r="C84" s="73"/>
      <c r="D84" s="60"/>
    </row>
    <row r="85" spans="1:4" ht="16.5" thickBot="1" x14ac:dyDescent="0.3">
      <c r="A85" s="217" t="s">
        <v>304</v>
      </c>
      <c r="B85" s="142">
        <f>B84*0.2</f>
        <v>255279.52995198584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1531677.1797119151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141010.05028808489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35000000}">
    <filterColumn colId="1">
      <filters>
        <filter val="1 239 221,02"/>
        <filter val="1 276 397,65"/>
        <filter val="1 493,52"/>
        <filter val="1 531 677,18"/>
        <filter val="1 813,56"/>
        <filter val="10 486,92"/>
        <filter val="108 858,19"/>
        <filter val="125 381,82"/>
        <filter val="13 154,87"/>
        <filter val="134 451,78"/>
        <filter val="141 010,05"/>
        <filter val="149 783,90"/>
        <filter val="16 371,52"/>
        <filter val="17 739,15"/>
        <filter val="18 741,07"/>
        <filter val="194 886,56"/>
        <filter val="24 015,77"/>
        <filter val="252 977,49"/>
        <filter val="255 279,53"/>
        <filter val="258 559,93"/>
        <filter val="300 394,97"/>
        <filter val="33 188,41"/>
        <filter val="37 176,63"/>
        <filter val="4 200,00"/>
        <filter val="42 843,47"/>
        <filter val="49 429,76"/>
        <filter val="50 400,00"/>
        <filter val="51 817,82"/>
        <filter val="6 407,37"/>
        <filter val="8 133,61"/>
        <filter val="8 603,87"/>
        <filter val="8 922,13"/>
        <filter val="82 618,17"/>
        <filter val="83 697,61"/>
        <filter val="83 912,82"/>
        <filter val="87 020,40"/>
        <filter val="88 551,69"/>
        <filter val="9 800,0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4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filterMode="1">
    <pageSetUpPr fitToPage="1"/>
  </sheetPr>
  <dimension ref="A1:G95"/>
  <sheetViews>
    <sheetView view="pageBreakPreview" topLeftCell="A69" zoomScale="75" zoomScaleNormal="100" zoomScaleSheetLayoutView="75" workbookViewId="0">
      <selection activeCell="A24" sqref="A24:B24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269" t="s">
        <v>224</v>
      </c>
      <c r="B1" s="269"/>
    </row>
    <row r="2" spans="1:4" ht="16.5" x14ac:dyDescent="0.25">
      <c r="A2" s="270" t="s">
        <v>225</v>
      </c>
      <c r="B2" s="270"/>
    </row>
    <row r="3" spans="1:4" ht="16.5" x14ac:dyDescent="0.25">
      <c r="A3" s="270" t="s">
        <v>226</v>
      </c>
      <c r="B3" s="270"/>
    </row>
    <row r="4" spans="1:4" x14ac:dyDescent="0.25">
      <c r="A4" s="184" t="s">
        <v>494</v>
      </c>
      <c r="B4" s="184"/>
    </row>
    <row r="5" spans="1:4" x14ac:dyDescent="0.25">
      <c r="A5" s="184" t="s">
        <v>119</v>
      </c>
      <c r="B5" s="184"/>
    </row>
    <row r="6" spans="1:4" ht="5.25" customHeight="1" x14ac:dyDescent="0.25">
      <c r="A6" s="184"/>
      <c r="B6" s="4"/>
      <c r="C6" s="4"/>
    </row>
    <row r="7" spans="1:4" ht="16.5" thickBot="1" x14ac:dyDescent="0.3">
      <c r="A7" s="186"/>
      <c r="B7" s="4"/>
      <c r="C7" s="4"/>
    </row>
    <row r="8" spans="1:4" ht="15.75" customHeight="1" x14ac:dyDescent="0.25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6.5" thickBot="1" x14ac:dyDescent="0.3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-657957.75156197976</v>
      </c>
      <c r="C10" s="226"/>
      <c r="D10" s="226"/>
    </row>
    <row r="11" spans="1:4" s="227" customFormat="1" ht="16.5" hidden="1" thickBot="1" x14ac:dyDescent="0.3">
      <c r="A11" s="228" t="s">
        <v>232</v>
      </c>
      <c r="B11" s="229"/>
      <c r="C11" s="230"/>
      <c r="D11" s="230"/>
    </row>
    <row r="12" spans="1:4" x14ac:dyDescent="0.25">
      <c r="A12" s="231" t="s">
        <v>233</v>
      </c>
      <c r="B12" s="210"/>
      <c r="C12" s="5" t="s">
        <v>234</v>
      </c>
      <c r="D12" s="6" t="s">
        <v>234</v>
      </c>
    </row>
    <row r="13" spans="1:4" hidden="1" x14ac:dyDescent="0.25">
      <c r="A13" s="7" t="s">
        <v>235</v>
      </c>
      <c r="B13" s="8">
        <v>7462.3</v>
      </c>
      <c r="C13" s="9" t="s">
        <v>234</v>
      </c>
      <c r="D13" s="10" t="s">
        <v>234</v>
      </c>
    </row>
    <row r="14" spans="1:4" hidden="1" x14ac:dyDescent="0.25">
      <c r="A14" s="7" t="s">
        <v>236</v>
      </c>
      <c r="B14" s="8">
        <v>2365.1</v>
      </c>
      <c r="C14" s="9"/>
      <c r="D14" s="10"/>
    </row>
    <row r="15" spans="1:4" hidden="1" x14ac:dyDescent="0.25">
      <c r="A15" s="123" t="s">
        <v>237</v>
      </c>
      <c r="B15" s="11">
        <f>B13+B14</f>
        <v>9827.4</v>
      </c>
      <c r="C15" s="9"/>
      <c r="D15" s="10"/>
    </row>
    <row r="16" spans="1:4" hidden="1" x14ac:dyDescent="0.25">
      <c r="A16" s="123" t="s">
        <v>238</v>
      </c>
      <c r="B16" s="11">
        <f>3853.9+2866.02/3</f>
        <v>4809.24</v>
      </c>
      <c r="C16" s="9" t="s">
        <v>234</v>
      </c>
      <c r="D16" s="10" t="s">
        <v>234</v>
      </c>
    </row>
    <row r="17" spans="1:7" hidden="1" x14ac:dyDescent="0.25">
      <c r="A17" s="7" t="s">
        <v>239</v>
      </c>
      <c r="B17" s="8">
        <v>0</v>
      </c>
      <c r="C17" s="9" t="s">
        <v>234</v>
      </c>
      <c r="D17" s="10" t="s">
        <v>234</v>
      </c>
    </row>
    <row r="18" spans="1:7" hidden="1" x14ac:dyDescent="0.25">
      <c r="A18" s="7" t="s">
        <v>240</v>
      </c>
      <c r="B18" s="8">
        <v>2752.7</v>
      </c>
      <c r="C18" s="9" t="s">
        <v>234</v>
      </c>
      <c r="D18" s="10" t="s">
        <v>234</v>
      </c>
    </row>
    <row r="19" spans="1:7" hidden="1" x14ac:dyDescent="0.25">
      <c r="A19" s="7" t="s">
        <v>241</v>
      </c>
      <c r="B19" s="8">
        <v>0</v>
      </c>
      <c r="C19" s="9" t="s">
        <v>234</v>
      </c>
      <c r="D19" s="10" t="s">
        <v>234</v>
      </c>
    </row>
    <row r="20" spans="1:7" hidden="1" x14ac:dyDescent="0.25">
      <c r="A20" s="7" t="s">
        <v>242</v>
      </c>
      <c r="B20" s="8">
        <v>3266</v>
      </c>
      <c r="C20" s="9"/>
      <c r="D20" s="10"/>
    </row>
    <row r="21" spans="1:7" hidden="1" x14ac:dyDescent="0.25">
      <c r="A21" s="7" t="s">
        <v>243</v>
      </c>
      <c r="B21" s="8">
        <v>0</v>
      </c>
      <c r="C21" s="9" t="s">
        <v>234</v>
      </c>
      <c r="D21" s="10" t="s">
        <v>234</v>
      </c>
    </row>
    <row r="22" spans="1:7" hidden="1" x14ac:dyDescent="0.25">
      <c r="A22" s="7" t="s">
        <v>244</v>
      </c>
      <c r="B22" s="8">
        <v>410</v>
      </c>
      <c r="C22" s="9"/>
      <c r="D22" s="10"/>
    </row>
    <row r="23" spans="1:7" x14ac:dyDescent="0.25">
      <c r="A23" s="123"/>
      <c r="B23" s="11"/>
      <c r="C23" s="9"/>
      <c r="D23" s="10"/>
    </row>
    <row r="24" spans="1:7" x14ac:dyDescent="0.25">
      <c r="A24" s="259" t="s">
        <v>317</v>
      </c>
      <c r="B24" s="255">
        <f>VLOOKUP(A5,мкд!W:X,2,FALSE)</f>
        <v>1403174.08</v>
      </c>
      <c r="C24" s="9"/>
      <c r="D24" s="10"/>
      <c r="E24" s="3">
        <v>15.48</v>
      </c>
    </row>
    <row r="25" spans="1:7" x14ac:dyDescent="0.25">
      <c r="A25" s="124" t="s">
        <v>318</v>
      </c>
      <c r="B25" s="14">
        <f>VLOOKUP(A5,мкд!W:Y,3,FALSE)</f>
        <v>1354142.81</v>
      </c>
      <c r="C25" s="9"/>
      <c r="D25" s="10"/>
    </row>
    <row r="26" spans="1:7" x14ac:dyDescent="0.25">
      <c r="A26" s="124" t="s">
        <v>348</v>
      </c>
      <c r="B26" s="14">
        <v>420827.87</v>
      </c>
      <c r="C26" s="9"/>
      <c r="D26" s="10"/>
    </row>
    <row r="27" spans="1:7" x14ac:dyDescent="0.25">
      <c r="A27" s="124" t="s">
        <v>349</v>
      </c>
      <c r="B27" s="14">
        <v>144004.19</v>
      </c>
      <c r="C27" s="9"/>
      <c r="D27" s="10"/>
    </row>
    <row r="28" spans="1:7" x14ac:dyDescent="0.25">
      <c r="A28" s="124" t="s">
        <v>391</v>
      </c>
      <c r="B28" s="14">
        <v>8832.39</v>
      </c>
      <c r="C28" s="9"/>
      <c r="D28" s="10"/>
    </row>
    <row r="29" spans="1:7" hidden="1" x14ac:dyDescent="0.25">
      <c r="A29" s="124" t="s">
        <v>250</v>
      </c>
      <c r="B29" s="11"/>
      <c r="C29" s="9"/>
      <c r="D29" s="10"/>
    </row>
    <row r="30" spans="1:7" x14ac:dyDescent="0.25">
      <c r="A30" s="125"/>
      <c r="B30" s="11"/>
      <c r="C30" s="9"/>
      <c r="D30" s="10"/>
    </row>
    <row r="31" spans="1:7" x14ac:dyDescent="0.25">
      <c r="A31" s="232" t="s">
        <v>251</v>
      </c>
      <c r="B31" s="11"/>
      <c r="C31" s="9"/>
      <c r="D31" s="10"/>
    </row>
    <row r="32" spans="1:7" s="18" customFormat="1" ht="31.5" x14ac:dyDescent="0.25">
      <c r="A32" s="126" t="s">
        <v>252</v>
      </c>
      <c r="B32" s="121">
        <f>SUM(B33:B40)</f>
        <v>250776.36</v>
      </c>
      <c r="C32" s="9"/>
      <c r="D32" s="10"/>
      <c r="E32" s="17">
        <f>(B85-B24-B26)/1.2/1.03</f>
        <v>403849.98835613707</v>
      </c>
      <c r="F32" s="17" t="e">
        <f>(#REF!-#REF!-#REF!)/1.2/1.03</f>
        <v>#REF!</v>
      </c>
      <c r="G32" s="17" t="e">
        <f>(#REF!-#REF!-#REF!)/1.2/1.03</f>
        <v>#REF!</v>
      </c>
    </row>
    <row r="33" spans="1:7" x14ac:dyDescent="0.25">
      <c r="A33" s="127" t="s">
        <v>253</v>
      </c>
      <c r="B33" s="11">
        <v>153716.16</v>
      </c>
      <c r="C33" s="9"/>
      <c r="D33" s="10">
        <v>69094.429999999993</v>
      </c>
    </row>
    <row r="34" spans="1:7" x14ac:dyDescent="0.25">
      <c r="A34" s="69" t="s">
        <v>256</v>
      </c>
      <c r="B34" s="11">
        <v>49163.47</v>
      </c>
      <c r="C34" s="9"/>
      <c r="D34" s="10"/>
    </row>
    <row r="35" spans="1:7" x14ac:dyDescent="0.25">
      <c r="A35" s="69" t="s">
        <v>255</v>
      </c>
      <c r="B35" s="11">
        <v>47896.729999999996</v>
      </c>
      <c r="C35" s="9"/>
      <c r="D35" s="10"/>
    </row>
    <row r="36" spans="1:7" hidden="1" x14ac:dyDescent="0.25">
      <c r="A36" s="128" t="s">
        <v>257</v>
      </c>
      <c r="B36" s="8"/>
      <c r="C36" s="9"/>
      <c r="D36" s="10">
        <v>0</v>
      </c>
    </row>
    <row r="37" spans="1:7" ht="16.5" hidden="1" x14ac:dyDescent="0.25">
      <c r="A37" s="146" t="s">
        <v>426</v>
      </c>
      <c r="B37" s="11"/>
      <c r="C37" s="9"/>
      <c r="D37" s="10">
        <v>0</v>
      </c>
    </row>
    <row r="38" spans="1:7" ht="16.5" hidden="1" x14ac:dyDescent="0.25">
      <c r="A38" s="146" t="s">
        <v>429</v>
      </c>
      <c r="B38" s="11"/>
      <c r="C38" s="9"/>
      <c r="D38" s="10">
        <v>0</v>
      </c>
    </row>
    <row r="39" spans="1:7" hidden="1" x14ac:dyDescent="0.25">
      <c r="A39" s="127" t="s">
        <v>310</v>
      </c>
      <c r="B39" s="8"/>
      <c r="C39" s="9"/>
      <c r="D39" s="10"/>
    </row>
    <row r="40" spans="1:7" hidden="1" x14ac:dyDescent="0.25">
      <c r="A40" s="127" t="s">
        <v>392</v>
      </c>
      <c r="B40" s="11"/>
      <c r="C40" s="9"/>
      <c r="D40" s="10"/>
    </row>
    <row r="41" spans="1:7" s="18" customFormat="1" ht="47.25" x14ac:dyDescent="0.25">
      <c r="A41" s="15" t="s">
        <v>393</v>
      </c>
      <c r="B41" s="16">
        <f>SUM(B42:B44)</f>
        <v>66547.424432873115</v>
      </c>
      <c r="C41" s="9"/>
      <c r="D41" s="10"/>
      <c r="E41" s="17"/>
      <c r="F41" s="17"/>
      <c r="G41" s="17"/>
    </row>
    <row r="42" spans="1:7" x14ac:dyDescent="0.25">
      <c r="A42" s="19" t="s">
        <v>262</v>
      </c>
      <c r="B42" s="11">
        <v>799.33</v>
      </c>
      <c r="C42" s="23"/>
      <c r="D42" s="24"/>
    </row>
    <row r="43" spans="1:7" x14ac:dyDescent="0.25">
      <c r="A43" s="19" t="s">
        <v>263</v>
      </c>
      <c r="B43" s="11">
        <v>8365.7099999999991</v>
      </c>
      <c r="C43" s="23"/>
      <c r="D43" s="24"/>
    </row>
    <row r="44" spans="1:7" x14ac:dyDescent="0.25">
      <c r="A44" s="129" t="s">
        <v>264</v>
      </c>
      <c r="B44" s="11">
        <f>'[4]32тарифы'!D163*B15*1.0952+279.83</f>
        <v>57382.384432873121</v>
      </c>
      <c r="C44" s="23"/>
      <c r="D44" s="24"/>
    </row>
    <row r="45" spans="1:7" s="4" customFormat="1" x14ac:dyDescent="0.25">
      <c r="A45" s="15" t="s">
        <v>265</v>
      </c>
      <c r="B45" s="121">
        <f>SUM(B46:B64)</f>
        <v>197740.94999999998</v>
      </c>
      <c r="C45" s="9"/>
      <c r="D45" s="10"/>
    </row>
    <row r="46" spans="1:7" x14ac:dyDescent="0.25">
      <c r="A46" s="19" t="s">
        <v>324</v>
      </c>
      <c r="B46" s="11">
        <v>11561.4</v>
      </c>
      <c r="C46" s="9"/>
      <c r="D46" s="10"/>
      <c r="E46" s="3" t="s">
        <v>267</v>
      </c>
    </row>
    <row r="47" spans="1:7" x14ac:dyDescent="0.25">
      <c r="A47" s="127" t="s">
        <v>315</v>
      </c>
      <c r="B47" s="11">
        <v>14083.8</v>
      </c>
      <c r="C47" s="9"/>
      <c r="D47" s="10"/>
      <c r="E47" s="3" t="s">
        <v>269</v>
      </c>
    </row>
    <row r="48" spans="1:7" hidden="1" x14ac:dyDescent="0.25">
      <c r="A48" s="26" t="s">
        <v>270</v>
      </c>
      <c r="B48" s="11">
        <v>0</v>
      </c>
      <c r="C48" s="9"/>
      <c r="D48" s="10"/>
    </row>
    <row r="49" spans="1:5" hidden="1" x14ac:dyDescent="0.25">
      <c r="A49" s="26" t="s">
        <v>373</v>
      </c>
      <c r="B49" s="11">
        <v>0</v>
      </c>
      <c r="C49" s="9"/>
      <c r="D49" s="10"/>
    </row>
    <row r="50" spans="1:5" hidden="1" x14ac:dyDescent="0.25">
      <c r="A50" s="26" t="s">
        <v>314</v>
      </c>
      <c r="B50" s="11"/>
      <c r="C50" s="9"/>
      <c r="D50" s="10"/>
      <c r="E50" s="3">
        <v>41790.089999999997</v>
      </c>
    </row>
    <row r="51" spans="1:5" x14ac:dyDescent="0.25">
      <c r="A51" s="95" t="s">
        <v>430</v>
      </c>
      <c r="B51" s="11">
        <v>12600</v>
      </c>
      <c r="C51" s="9"/>
      <c r="D51" s="10">
        <v>105.14</v>
      </c>
    </row>
    <row r="52" spans="1:5" x14ac:dyDescent="0.25">
      <c r="A52" s="131" t="s">
        <v>274</v>
      </c>
      <c r="B52" s="8">
        <v>72000</v>
      </c>
      <c r="C52" s="9">
        <v>3</v>
      </c>
      <c r="D52" s="10">
        <v>522.99</v>
      </c>
    </row>
    <row r="53" spans="1:5" hidden="1" x14ac:dyDescent="0.25">
      <c r="A53" s="95" t="s">
        <v>275</v>
      </c>
      <c r="B53" s="11"/>
      <c r="C53" s="9">
        <v>3</v>
      </c>
      <c r="D53" s="28">
        <v>657.53</v>
      </c>
    </row>
    <row r="54" spans="1:5" hidden="1" x14ac:dyDescent="0.25">
      <c r="A54" s="95" t="s">
        <v>527</v>
      </c>
      <c r="B54" s="11">
        <v>0</v>
      </c>
      <c r="C54" s="9"/>
      <c r="D54" s="28"/>
    </row>
    <row r="55" spans="1:5" x14ac:dyDescent="0.25">
      <c r="A55" s="131" t="s">
        <v>373</v>
      </c>
      <c r="B55" s="8">
        <v>30501.66</v>
      </c>
      <c r="C55" s="9">
        <v>0</v>
      </c>
      <c r="D55" s="10">
        <f>10695.76/1.18</f>
        <v>9064.203389830509</v>
      </c>
    </row>
    <row r="56" spans="1:5" hidden="1" x14ac:dyDescent="0.25">
      <c r="A56" s="111" t="s">
        <v>344</v>
      </c>
      <c r="B56" s="8"/>
      <c r="C56" s="9">
        <v>0</v>
      </c>
      <c r="D56" s="10">
        <f>2300/1.18</f>
        <v>1949.1525423728815</v>
      </c>
    </row>
    <row r="57" spans="1:5" hidden="1" x14ac:dyDescent="0.25">
      <c r="A57" s="95" t="s">
        <v>342</v>
      </c>
      <c r="B57" s="11"/>
      <c r="C57" s="9">
        <v>0</v>
      </c>
      <c r="D57" s="10">
        <v>0</v>
      </c>
      <c r="E57" s="130">
        <f>B79+B45+891.14+7942.83</f>
        <v>235860.62</v>
      </c>
    </row>
    <row r="58" spans="1:5" hidden="1" x14ac:dyDescent="0.25">
      <c r="A58" s="95" t="s">
        <v>278</v>
      </c>
      <c r="B58" s="11">
        <v>0</v>
      </c>
      <c r="C58" s="9"/>
      <c r="D58" s="10"/>
    </row>
    <row r="59" spans="1:5" hidden="1" x14ac:dyDescent="0.25">
      <c r="A59" s="19" t="s">
        <v>346</v>
      </c>
      <c r="B59" s="11"/>
      <c r="C59" s="9"/>
      <c r="D59" s="10"/>
    </row>
    <row r="60" spans="1:5" hidden="1" x14ac:dyDescent="0.25">
      <c r="A60" s="110" t="s">
        <v>280</v>
      </c>
      <c r="B60" s="8"/>
      <c r="C60" s="9"/>
      <c r="D60" s="10">
        <v>0</v>
      </c>
    </row>
    <row r="61" spans="1:5" hidden="1" x14ac:dyDescent="0.25">
      <c r="A61" s="110" t="s">
        <v>336</v>
      </c>
      <c r="B61" s="8"/>
      <c r="C61" s="9"/>
      <c r="D61" s="10">
        <v>0</v>
      </c>
    </row>
    <row r="62" spans="1:5" x14ac:dyDescent="0.25">
      <c r="A62" s="19" t="s">
        <v>397</v>
      </c>
      <c r="B62" s="132">
        <v>56421.599999999999</v>
      </c>
      <c r="C62" s="30">
        <v>1</v>
      </c>
      <c r="D62" s="10">
        <v>0</v>
      </c>
    </row>
    <row r="63" spans="1:5" hidden="1" x14ac:dyDescent="0.25">
      <c r="A63" s="19" t="s">
        <v>283</v>
      </c>
      <c r="B63" s="132"/>
      <c r="C63" s="30">
        <v>154</v>
      </c>
      <c r="D63" s="10">
        <v>2</v>
      </c>
      <c r="E63" s="3">
        <v>1</v>
      </c>
    </row>
    <row r="64" spans="1:5" x14ac:dyDescent="0.25">
      <c r="A64" s="127" t="s">
        <v>281</v>
      </c>
      <c r="B64" s="132">
        <v>572.49</v>
      </c>
      <c r="C64" s="32"/>
      <c r="D64" s="24">
        <v>0</v>
      </c>
    </row>
    <row r="65" spans="1:4" s="4" customFormat="1" x14ac:dyDescent="0.25">
      <c r="A65" s="133" t="s">
        <v>285</v>
      </c>
      <c r="B65" s="121">
        <f>SUM(B66:B73)</f>
        <v>675595.74388839747</v>
      </c>
      <c r="C65" s="23"/>
      <c r="D65" s="24"/>
    </row>
    <row r="66" spans="1:4" hidden="1" x14ac:dyDescent="0.25">
      <c r="A66" s="19" t="s">
        <v>286</v>
      </c>
      <c r="B66" s="11"/>
      <c r="C66" s="23"/>
      <c r="D66" s="24"/>
    </row>
    <row r="67" spans="1:4" x14ac:dyDescent="0.25">
      <c r="A67" s="19" t="s">
        <v>287</v>
      </c>
      <c r="B67" s="8">
        <f>183175*1.04*1.12*1.0952</f>
        <v>233674.32524800001</v>
      </c>
      <c r="C67" s="23">
        <f>46*B16</f>
        <v>221225.03999999998</v>
      </c>
      <c r="D67" s="24"/>
    </row>
    <row r="68" spans="1:4" hidden="1" x14ac:dyDescent="0.25">
      <c r="A68" s="127" t="s">
        <v>288</v>
      </c>
      <c r="B68" s="11"/>
      <c r="C68" s="23"/>
      <c r="D68" s="24"/>
    </row>
    <row r="69" spans="1:4" x14ac:dyDescent="0.25">
      <c r="A69" s="25" t="s">
        <v>289</v>
      </c>
      <c r="B69" s="8">
        <f>1.35*B15</f>
        <v>13266.99</v>
      </c>
      <c r="C69" s="23"/>
      <c r="D69" s="24"/>
    </row>
    <row r="70" spans="1:4" x14ac:dyDescent="0.25">
      <c r="A70" s="129" t="s">
        <v>290</v>
      </c>
      <c r="B70" s="135">
        <f>5.06*B15</f>
        <v>49726.643999999993</v>
      </c>
      <c r="C70" s="23"/>
      <c r="D70" s="24"/>
    </row>
    <row r="71" spans="1:4" x14ac:dyDescent="0.25">
      <c r="A71" s="25" t="s">
        <v>291</v>
      </c>
      <c r="B71" s="11">
        <f>17.68*B15</f>
        <v>173748.432</v>
      </c>
      <c r="C71" s="23"/>
      <c r="D71" s="24"/>
    </row>
    <row r="72" spans="1:4" x14ac:dyDescent="0.25">
      <c r="A72" s="129" t="s">
        <v>292</v>
      </c>
      <c r="B72" s="11">
        <f>1.04*17031.2582427542*1.12*1.0952</f>
        <v>21726.588115190534</v>
      </c>
      <c r="C72" s="23"/>
      <c r="D72" s="24"/>
    </row>
    <row r="73" spans="1:4" x14ac:dyDescent="0.25">
      <c r="A73" s="129" t="s">
        <v>293</v>
      </c>
      <c r="B73" s="11">
        <f>1.04*143806.813633636*1.12*1.0952</f>
        <v>183452.76452520696</v>
      </c>
      <c r="C73" s="23"/>
      <c r="D73" s="24"/>
    </row>
    <row r="74" spans="1:4" ht="63" x14ac:dyDescent="0.25">
      <c r="A74" s="136" t="s">
        <v>294</v>
      </c>
      <c r="B74" s="121">
        <f>SUM(B75:B75)</f>
        <v>278106.32640000002</v>
      </c>
      <c r="C74" s="23"/>
      <c r="D74" s="24"/>
    </row>
    <row r="75" spans="1:4" x14ac:dyDescent="0.25">
      <c r="A75" s="129" t="s">
        <v>295</v>
      </c>
      <c r="B75" s="11">
        <f>226725*1.12*1.0952</f>
        <v>278106.32640000002</v>
      </c>
      <c r="C75" s="23"/>
      <c r="D75" s="24"/>
    </row>
    <row r="76" spans="1:4" s="4" customFormat="1" x14ac:dyDescent="0.25">
      <c r="A76" s="133" t="s">
        <v>296</v>
      </c>
      <c r="B76" s="121">
        <f>SUM(B77:B80)</f>
        <v>410812.91664457531</v>
      </c>
      <c r="C76" s="23"/>
      <c r="D76" s="24"/>
    </row>
    <row r="77" spans="1:4" x14ac:dyDescent="0.25">
      <c r="A77" s="137" t="s">
        <v>297</v>
      </c>
      <c r="B77" s="11">
        <f>'[4]32тарифы'!D170*B15*1.12*1.0952</f>
        <v>259752.58517958858</v>
      </c>
      <c r="C77" s="23"/>
      <c r="D77" s="24"/>
    </row>
    <row r="78" spans="1:4" ht="24" customHeight="1" x14ac:dyDescent="0.25">
      <c r="A78" s="137" t="s">
        <v>298</v>
      </c>
      <c r="B78" s="11">
        <f>B26/1.2*30%</f>
        <v>105206.9675</v>
      </c>
      <c r="C78" s="23"/>
      <c r="D78" s="24"/>
    </row>
    <row r="79" spans="1:4" x14ac:dyDescent="0.25">
      <c r="A79" s="138" t="s">
        <v>299</v>
      </c>
      <c r="B79" s="11">
        <f>13675.25+15610.45</f>
        <v>29285.7</v>
      </c>
      <c r="C79" s="23"/>
      <c r="D79" s="24"/>
    </row>
    <row r="80" spans="1:4" x14ac:dyDescent="0.25">
      <c r="A80" s="138" t="s">
        <v>300</v>
      </c>
      <c r="B80" s="11">
        <f>'[4]32тарифы'!D173*B13*1.12*1.01</f>
        <v>16567.663964986754</v>
      </c>
      <c r="C80" s="23"/>
      <c r="D80" s="24"/>
    </row>
    <row r="81" spans="1:4" x14ac:dyDescent="0.25">
      <c r="A81" s="233" t="s">
        <v>301</v>
      </c>
      <c r="B81" s="238">
        <f>B32+B41+B45+B65+B74+B76</f>
        <v>1879579.721365846</v>
      </c>
      <c r="C81" s="23"/>
      <c r="D81" s="24"/>
    </row>
    <row r="82" spans="1:4" x14ac:dyDescent="0.25">
      <c r="A82" s="139" t="s">
        <v>302</v>
      </c>
      <c r="B82" s="11">
        <f>B81*0.03</f>
        <v>56387.39164097538</v>
      </c>
      <c r="C82" s="23"/>
      <c r="D82" s="24"/>
    </row>
    <row r="83" spans="1:4" s="18" customFormat="1" x14ac:dyDescent="0.25">
      <c r="A83" s="140" t="s">
        <v>303</v>
      </c>
      <c r="B83" s="121">
        <f>B81+B82</f>
        <v>1935967.1130068214</v>
      </c>
      <c r="C83" s="23"/>
      <c r="D83" s="24"/>
    </row>
    <row r="84" spans="1:4" ht="16.5" thickBot="1" x14ac:dyDescent="0.3">
      <c r="A84" s="141" t="s">
        <v>304</v>
      </c>
      <c r="B84" s="142">
        <f>B83*0.2</f>
        <v>387193.42260136432</v>
      </c>
      <c r="C84" s="23"/>
      <c r="D84" s="24"/>
    </row>
    <row r="85" spans="1:4" s="4" customFormat="1" ht="16.5" thickBot="1" x14ac:dyDescent="0.3">
      <c r="A85" s="42" t="s">
        <v>305</v>
      </c>
      <c r="B85" s="46">
        <f>B83+B84</f>
        <v>2323160.5356081855</v>
      </c>
      <c r="C85" s="40"/>
      <c r="D85" s="41"/>
    </row>
    <row r="86" spans="1:4" s="4" customFormat="1" ht="16.5" thickBot="1" x14ac:dyDescent="0.3">
      <c r="A86" s="42" t="s">
        <v>306</v>
      </c>
      <c r="B86" s="46">
        <f>B10+B24+B26+B28+B29-B85</f>
        <v>-1148283.9471701651</v>
      </c>
      <c r="C86" s="43"/>
      <c r="D86" s="43"/>
    </row>
    <row r="87" spans="1:4" s="4" customFormat="1" ht="16.5" hidden="1" thickBot="1" x14ac:dyDescent="0.3">
      <c r="A87" s="44" t="s">
        <v>307</v>
      </c>
      <c r="B87" s="46"/>
      <c r="C87" s="43"/>
      <c r="D87" s="43"/>
    </row>
    <row r="88" spans="1:4" s="4" customFormat="1" ht="16.5" hidden="1" thickBot="1" x14ac:dyDescent="0.3">
      <c r="A88" s="143" t="s">
        <v>308</v>
      </c>
      <c r="B88" s="46"/>
      <c r="C88" s="43"/>
      <c r="D88" s="43"/>
    </row>
    <row r="89" spans="1:4" x14ac:dyDescent="0.25">
      <c r="B89" s="130"/>
    </row>
    <row r="90" spans="1:4" x14ac:dyDescent="0.25">
      <c r="A90" s="49"/>
    </row>
    <row r="91" spans="1:4" x14ac:dyDescent="0.25">
      <c r="A91" s="286" t="s">
        <v>542</v>
      </c>
      <c r="B91" s="286"/>
    </row>
    <row r="92" spans="1:4" x14ac:dyDescent="0.25">
      <c r="A92" s="49"/>
    </row>
    <row r="93" spans="1:4" hidden="1" x14ac:dyDescent="0.25">
      <c r="A93" s="292" t="s">
        <v>399</v>
      </c>
      <c r="B93" s="292"/>
      <c r="C93" s="51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</sheetData>
  <autoFilter ref="A32:G88" xr:uid="{00000000-0009-0000-0000-000036000000}">
    <filterColumn colId="1">
      <filters>
        <filter val="-1 148 283,95"/>
        <filter val="1 879 579,72"/>
        <filter val="1 935 967,11"/>
        <filter val="105 206,97"/>
        <filter val="11 561,40"/>
        <filter val="12 600,00"/>
        <filter val="13 266,99"/>
        <filter val="14 083,80"/>
        <filter val="153 716,16"/>
        <filter val="16 567,66"/>
        <filter val="173 748,43"/>
        <filter val="183 452,76"/>
        <filter val="197 740,95"/>
        <filter val="2 323 160,54"/>
        <filter val="21 726,59"/>
        <filter val="233 674,33"/>
        <filter val="259 752,59"/>
        <filter val="278 106,33"/>
        <filter val="29 285,70"/>
        <filter val="30 501,66"/>
        <filter val="387 193,42"/>
        <filter val="410 812,92"/>
        <filter val="47 896,73"/>
        <filter val="49 163,47"/>
        <filter val="49 726,64"/>
        <filter val="56 387,39"/>
        <filter val="56 421,60"/>
        <filter val="57 382,38"/>
        <filter val="572,49"/>
        <filter val="66 547,42"/>
        <filter val="675 595,74"/>
        <filter val="72 000,00"/>
        <filter val="799,33"/>
        <filter val="8 365,71"/>
      </filters>
    </filterColumn>
  </autoFilter>
  <mergeCells count="9">
    <mergeCell ref="D8:D9"/>
    <mergeCell ref="A91:B91"/>
    <mergeCell ref="A93:B93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0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filterMode="1">
    <pageSetUpPr fitToPage="1"/>
  </sheetPr>
  <dimension ref="A1:G95"/>
  <sheetViews>
    <sheetView view="pageBreakPreview" topLeftCell="A76" zoomScale="75" zoomScaleNormal="100" zoomScaleSheetLayoutView="75" workbookViewId="0">
      <selection activeCell="A24" sqref="A24:B24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120</v>
      </c>
      <c r="B5" s="184"/>
      <c r="C5" s="3"/>
      <c r="D5" s="3"/>
    </row>
    <row r="6" spans="1:4" ht="5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3.5" thickBot="1" x14ac:dyDescent="0.25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-341538.87</v>
      </c>
      <c r="C10" s="226"/>
      <c r="D10" s="226"/>
    </row>
    <row r="11" spans="1:4" s="227" customFormat="1" ht="16.5" hidden="1" thickBot="1" x14ac:dyDescent="0.3">
      <c r="A11" s="228" t="s">
        <v>232</v>
      </c>
      <c r="B11" s="229"/>
      <c r="C11" s="230"/>
      <c r="D11" s="230"/>
    </row>
    <row r="12" spans="1:4" ht="15.75" x14ac:dyDescent="0.25">
      <c r="A12" s="231" t="s">
        <v>233</v>
      </c>
      <c r="B12" s="210"/>
      <c r="C12" s="5" t="s">
        <v>234</v>
      </c>
      <c r="D12" s="6" t="s">
        <v>234</v>
      </c>
    </row>
    <row r="13" spans="1:4" ht="15.75" hidden="1" x14ac:dyDescent="0.25">
      <c r="A13" s="107" t="s">
        <v>235</v>
      </c>
      <c r="B13" s="8">
        <v>3575.9</v>
      </c>
      <c r="C13" s="9" t="s">
        <v>234</v>
      </c>
      <c r="D13" s="10" t="s">
        <v>234</v>
      </c>
    </row>
    <row r="14" spans="1:4" ht="15.75" hidden="1" x14ac:dyDescent="0.25">
      <c r="A14" s="107" t="s">
        <v>236</v>
      </c>
      <c r="B14" s="8">
        <v>0</v>
      </c>
      <c r="C14" s="9"/>
      <c r="D14" s="10"/>
    </row>
    <row r="15" spans="1:4" ht="15.75" hidden="1" x14ac:dyDescent="0.25">
      <c r="A15" s="123" t="s">
        <v>237</v>
      </c>
      <c r="B15" s="11">
        <f>B13+B14</f>
        <v>3575.9</v>
      </c>
      <c r="C15" s="9"/>
      <c r="D15" s="10"/>
    </row>
    <row r="16" spans="1:4" ht="15.75" hidden="1" x14ac:dyDescent="0.25">
      <c r="A16" s="123" t="s">
        <v>238</v>
      </c>
      <c r="B16" s="11">
        <f>967.9+3297.6/3</f>
        <v>2067.1</v>
      </c>
      <c r="C16" s="9" t="s">
        <v>234</v>
      </c>
      <c r="D16" s="10" t="s">
        <v>234</v>
      </c>
    </row>
    <row r="17" spans="1:7" ht="15.75" hidden="1" x14ac:dyDescent="0.25">
      <c r="A17" s="107" t="s">
        <v>239</v>
      </c>
      <c r="B17" s="8">
        <v>0</v>
      </c>
      <c r="C17" s="9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107" t="s">
        <v>240</v>
      </c>
      <c r="B18" s="8">
        <v>874.2</v>
      </c>
      <c r="C18" s="9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107" t="s">
        <v>241</v>
      </c>
      <c r="B19" s="8">
        <v>0</v>
      </c>
      <c r="C19" s="9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107" t="s">
        <v>242</v>
      </c>
      <c r="B20" s="8">
        <v>1136</v>
      </c>
      <c r="C20" s="9"/>
      <c r="D20" s="10"/>
      <c r="E20" s="3"/>
      <c r="F20" s="3"/>
      <c r="G20" s="3"/>
    </row>
    <row r="21" spans="1:7" ht="15.75" hidden="1" x14ac:dyDescent="0.25">
      <c r="A21" s="107" t="s">
        <v>243</v>
      </c>
      <c r="B21" s="8">
        <v>0</v>
      </c>
      <c r="C21" s="9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107" t="s">
        <v>244</v>
      </c>
      <c r="B22" s="8">
        <v>169</v>
      </c>
      <c r="C22" s="9"/>
      <c r="D22" s="10"/>
      <c r="E22" s="3"/>
      <c r="F22" s="3"/>
      <c r="G22" s="3"/>
    </row>
    <row r="23" spans="1:7" ht="15.75" x14ac:dyDescent="0.25">
      <c r="A23" s="123"/>
      <c r="B23" s="11"/>
      <c r="C23" s="9"/>
      <c r="D23" s="10"/>
      <c r="E23" s="3"/>
      <c r="F23" s="3"/>
      <c r="G23" s="3"/>
    </row>
    <row r="24" spans="1:7" ht="15.75" x14ac:dyDescent="0.25">
      <c r="A24" s="259" t="s">
        <v>317</v>
      </c>
      <c r="B24" s="255">
        <f>VLOOKUP(A5,мкд!W:X,2,FALSE)</f>
        <v>677123.7</v>
      </c>
      <c r="C24" s="9"/>
      <c r="D24" s="10"/>
      <c r="E24" s="194">
        <v>15.59</v>
      </c>
      <c r="F24" s="3"/>
      <c r="G24" s="3"/>
    </row>
    <row r="25" spans="1:7" ht="15.75" x14ac:dyDescent="0.25">
      <c r="A25" s="124" t="s">
        <v>318</v>
      </c>
      <c r="B25" s="14">
        <f>VLOOKUP(A5,мкд!W:Y,3,FALSE)</f>
        <v>663527.56000000006</v>
      </c>
      <c r="C25" s="9"/>
      <c r="D25" s="10"/>
      <c r="E25" s="3"/>
      <c r="F25" s="3"/>
      <c r="G25" s="3"/>
    </row>
    <row r="26" spans="1:7" ht="15.75" hidden="1" x14ac:dyDescent="0.25">
      <c r="A26" s="124" t="s">
        <v>348</v>
      </c>
      <c r="B26" s="14"/>
      <c r="C26" s="9"/>
      <c r="D26" s="10"/>
      <c r="E26" s="3"/>
      <c r="F26" s="3"/>
      <c r="G26" s="3"/>
    </row>
    <row r="27" spans="1:7" ht="15.75" hidden="1" x14ac:dyDescent="0.25">
      <c r="A27" s="124" t="s">
        <v>349</v>
      </c>
      <c r="B27" s="14"/>
      <c r="C27" s="9"/>
      <c r="D27" s="10"/>
      <c r="E27" s="3"/>
      <c r="F27" s="3"/>
      <c r="G27" s="3"/>
    </row>
    <row r="28" spans="1:7" ht="15.75" x14ac:dyDescent="0.25">
      <c r="A28" s="124" t="s">
        <v>391</v>
      </c>
      <c r="B28" s="14">
        <v>7154.31</v>
      </c>
      <c r="C28" s="9"/>
      <c r="D28" s="10"/>
      <c r="E28" s="3"/>
      <c r="F28" s="3"/>
      <c r="G28" s="3"/>
    </row>
    <row r="29" spans="1:7" ht="15.75" hidden="1" x14ac:dyDescent="0.25">
      <c r="A29" s="124" t="s">
        <v>421</v>
      </c>
      <c r="B29" s="11"/>
      <c r="C29" s="9"/>
      <c r="D29" s="10"/>
      <c r="E29" s="3"/>
      <c r="F29" s="3"/>
      <c r="G29" s="3"/>
    </row>
    <row r="30" spans="1:7" ht="15.75" x14ac:dyDescent="0.25">
      <c r="A30" s="125"/>
      <c r="B30" s="11"/>
      <c r="C30" s="9"/>
      <c r="D30" s="10"/>
      <c r="E30" s="3"/>
      <c r="F30" s="3"/>
      <c r="G30" s="3"/>
    </row>
    <row r="31" spans="1:7" ht="15.75" x14ac:dyDescent="0.25">
      <c r="A31" s="232" t="s">
        <v>251</v>
      </c>
      <c r="B31" s="11"/>
      <c r="C31" s="9"/>
      <c r="D31" s="10"/>
      <c r="E31" s="3"/>
      <c r="F31" s="3"/>
      <c r="G31" s="3"/>
    </row>
    <row r="32" spans="1:7" s="18" customFormat="1" ht="31.5" x14ac:dyDescent="0.25">
      <c r="A32" s="126" t="s">
        <v>252</v>
      </c>
      <c r="B32" s="121">
        <f>SUM(B33:B41)</f>
        <v>119220.96999999999</v>
      </c>
      <c r="C32" s="9"/>
      <c r="D32" s="10"/>
      <c r="E32" s="17">
        <f>(B86-B24-B26)/1.2/1.03</f>
        <v>152460.34720380511</v>
      </c>
      <c r="F32" s="17" t="e">
        <f>(#REF!-#REF!-#REF!)/1.2/1.03</f>
        <v>#REF!</v>
      </c>
      <c r="G32" s="17" t="e">
        <f>(#REF!-#REF!-#REF!)/1.2/1.03</f>
        <v>#REF!</v>
      </c>
    </row>
    <row r="33" spans="1:7" ht="16.5" x14ac:dyDescent="0.25">
      <c r="A33" s="127" t="s">
        <v>253</v>
      </c>
      <c r="B33" s="145">
        <v>94943.65</v>
      </c>
      <c r="C33" s="9"/>
      <c r="D33" s="10">
        <v>34169.31</v>
      </c>
      <c r="E33" s="3"/>
      <c r="F33" s="3"/>
      <c r="G33" s="3"/>
    </row>
    <row r="34" spans="1:7" ht="15.75" hidden="1" x14ac:dyDescent="0.25">
      <c r="A34" s="128" t="s">
        <v>320</v>
      </c>
      <c r="B34" s="8"/>
      <c r="C34" s="9"/>
      <c r="D34" s="10">
        <v>0</v>
      </c>
      <c r="E34" s="3"/>
      <c r="F34" s="3"/>
      <c r="G34" s="3"/>
    </row>
    <row r="35" spans="1:7" ht="16.5" x14ac:dyDescent="0.25">
      <c r="A35" s="146" t="s">
        <v>547</v>
      </c>
      <c r="B35" s="145">
        <v>19773.2</v>
      </c>
      <c r="C35" s="9"/>
      <c r="D35" s="10">
        <v>0</v>
      </c>
      <c r="E35" s="3"/>
      <c r="F35" s="3"/>
      <c r="G35" s="3"/>
    </row>
    <row r="36" spans="1:7" ht="16.5" x14ac:dyDescent="0.25">
      <c r="A36" s="146" t="s">
        <v>256</v>
      </c>
      <c r="B36" s="148">
        <v>1569.73</v>
      </c>
      <c r="C36" s="9" t="s">
        <v>234</v>
      </c>
      <c r="D36" s="10">
        <v>0</v>
      </c>
      <c r="E36" s="3"/>
      <c r="F36" s="3"/>
      <c r="G36" s="3"/>
    </row>
    <row r="37" spans="1:7" ht="15.75" hidden="1" x14ac:dyDescent="0.25">
      <c r="A37" s="127" t="s">
        <v>257</v>
      </c>
      <c r="B37" s="11"/>
      <c r="C37" s="9"/>
      <c r="D37" s="10">
        <v>0</v>
      </c>
      <c r="E37" s="3"/>
      <c r="F37" s="3"/>
      <c r="G37" s="3"/>
    </row>
    <row r="38" spans="1:7" ht="15.75" hidden="1" x14ac:dyDescent="0.25">
      <c r="A38" s="127" t="s">
        <v>258</v>
      </c>
      <c r="B38" s="11"/>
      <c r="C38" s="9"/>
      <c r="D38" s="10">
        <v>0</v>
      </c>
      <c r="E38" s="3"/>
      <c r="F38" s="3"/>
      <c r="G38" s="3"/>
    </row>
    <row r="39" spans="1:7" ht="16.5" x14ac:dyDescent="0.25">
      <c r="A39" s="147" t="s">
        <v>255</v>
      </c>
      <c r="B39" s="149">
        <v>2934.39</v>
      </c>
      <c r="C39" s="9"/>
      <c r="D39" s="10">
        <v>0</v>
      </c>
      <c r="E39" s="3"/>
      <c r="F39" s="3"/>
      <c r="G39" s="3"/>
    </row>
    <row r="40" spans="1:7" ht="16.5" hidden="1" x14ac:dyDescent="0.25">
      <c r="A40" s="147" t="s">
        <v>429</v>
      </c>
      <c r="B40" s="149"/>
      <c r="C40" s="9"/>
      <c r="D40" s="10"/>
      <c r="E40" s="3"/>
      <c r="F40" s="3"/>
      <c r="G40" s="3"/>
    </row>
    <row r="41" spans="1:7" ht="16.5" hidden="1" x14ac:dyDescent="0.25">
      <c r="A41" s="147"/>
      <c r="B41" s="11">
        <v>0</v>
      </c>
      <c r="C41" s="9"/>
      <c r="D41" s="10"/>
      <c r="E41" s="3"/>
      <c r="F41" s="3"/>
      <c r="G41" s="3"/>
    </row>
    <row r="42" spans="1:7" s="18" customFormat="1" ht="47.25" x14ac:dyDescent="0.25">
      <c r="A42" s="126" t="s">
        <v>393</v>
      </c>
      <c r="B42" s="121">
        <f>SUM(B43:B45)</f>
        <v>21114.052702870649</v>
      </c>
      <c r="C42" s="9"/>
      <c r="D42" s="10"/>
      <c r="E42" s="17"/>
      <c r="F42" s="17"/>
      <c r="G42" s="17"/>
    </row>
    <row r="43" spans="1:7" ht="15.75" hidden="1" x14ac:dyDescent="0.25">
      <c r="A43" s="19" t="s">
        <v>262</v>
      </c>
      <c r="B43" s="11"/>
      <c r="C43" s="23"/>
      <c r="D43" s="24"/>
      <c r="E43" s="3"/>
      <c r="F43" s="3"/>
      <c r="G43" s="3"/>
    </row>
    <row r="44" spans="1:7" ht="15.75" hidden="1" x14ac:dyDescent="0.25">
      <c r="A44" s="19" t="s">
        <v>263</v>
      </c>
      <c r="B44" s="11"/>
      <c r="C44" s="23"/>
      <c r="D44" s="24"/>
      <c r="E44" s="3"/>
      <c r="F44" s="3"/>
      <c r="G44" s="3"/>
    </row>
    <row r="45" spans="1:7" ht="15.75" x14ac:dyDescent="0.25">
      <c r="A45" s="129" t="s">
        <v>264</v>
      </c>
      <c r="B45" s="11">
        <f>'[4]32тарифы'!D163*B15*1.0952+300.11*1.12</f>
        <v>21114.052702870649</v>
      </c>
      <c r="C45" s="23"/>
      <c r="D45" s="24"/>
      <c r="E45" s="3"/>
      <c r="F45" s="3"/>
      <c r="G45" s="3"/>
    </row>
    <row r="46" spans="1:7" s="4" customFormat="1" ht="15.75" x14ac:dyDescent="0.25">
      <c r="A46" s="126" t="s">
        <v>265</v>
      </c>
      <c r="B46" s="121">
        <f>SUM(B47:B65)</f>
        <v>45160.499999999993</v>
      </c>
      <c r="C46" s="9"/>
      <c r="D46" s="10"/>
    </row>
    <row r="47" spans="1:7" ht="15.75" x14ac:dyDescent="0.25">
      <c r="A47" s="127" t="s">
        <v>324</v>
      </c>
      <c r="B47" s="11">
        <v>3671.64</v>
      </c>
      <c r="C47" s="9"/>
      <c r="D47" s="10"/>
      <c r="E47" s="3" t="s">
        <v>267</v>
      </c>
      <c r="F47" s="3"/>
      <c r="G47" s="3"/>
    </row>
    <row r="48" spans="1:7" ht="15.75" x14ac:dyDescent="0.25">
      <c r="A48" s="127" t="s">
        <v>315</v>
      </c>
      <c r="B48" s="11">
        <v>4458.42</v>
      </c>
      <c r="C48" s="9"/>
      <c r="D48" s="10"/>
      <c r="E48" s="3" t="s">
        <v>269</v>
      </c>
      <c r="F48" s="3"/>
      <c r="G48" s="3"/>
    </row>
    <row r="49" spans="1:5" ht="15.75" hidden="1" x14ac:dyDescent="0.25">
      <c r="A49" s="95" t="s">
        <v>270</v>
      </c>
      <c r="B49" s="11">
        <v>0</v>
      </c>
      <c r="C49" s="9"/>
      <c r="D49" s="10"/>
      <c r="E49" s="3"/>
    </row>
    <row r="50" spans="1:5" ht="15.75" hidden="1" x14ac:dyDescent="0.25">
      <c r="A50" s="131" t="s">
        <v>373</v>
      </c>
      <c r="B50" s="8">
        <v>0</v>
      </c>
      <c r="C50" s="9"/>
      <c r="D50" s="10"/>
      <c r="E50" s="3"/>
    </row>
    <row r="51" spans="1:5" ht="15.75" hidden="1" x14ac:dyDescent="0.25">
      <c r="A51" s="95" t="s">
        <v>314</v>
      </c>
      <c r="B51" s="11"/>
      <c r="C51" s="9"/>
      <c r="D51" s="10"/>
      <c r="E51" s="3"/>
    </row>
    <row r="52" spans="1:5" ht="15.75" x14ac:dyDescent="0.25">
      <c r="A52" s="95" t="s">
        <v>430</v>
      </c>
      <c r="B52" s="11">
        <v>4200</v>
      </c>
      <c r="C52" s="9"/>
      <c r="D52" s="10">
        <v>105.14</v>
      </c>
      <c r="E52" s="3"/>
    </row>
    <row r="53" spans="1:5" ht="15.75" hidden="1" x14ac:dyDescent="0.25">
      <c r="A53" s="131"/>
      <c r="B53" s="8"/>
      <c r="C53" s="9">
        <v>0</v>
      </c>
      <c r="D53" s="10">
        <v>522.99</v>
      </c>
      <c r="E53" s="3"/>
    </row>
    <row r="54" spans="1:5" ht="15.75" hidden="1" x14ac:dyDescent="0.25">
      <c r="A54" s="111" t="s">
        <v>275</v>
      </c>
      <c r="B54" s="8"/>
      <c r="C54" s="9">
        <v>1</v>
      </c>
      <c r="D54" s="28">
        <v>695.13</v>
      </c>
      <c r="E54" s="3"/>
    </row>
    <row r="55" spans="1:5" ht="15.75" hidden="1" x14ac:dyDescent="0.25">
      <c r="A55" s="95"/>
      <c r="B55" s="11"/>
      <c r="C55" s="9"/>
      <c r="D55" s="28"/>
      <c r="E55" s="3"/>
    </row>
    <row r="56" spans="1:5" ht="15.75" x14ac:dyDescent="0.25">
      <c r="A56" s="95" t="s">
        <v>528</v>
      </c>
      <c r="B56" s="11">
        <v>8133.61</v>
      </c>
      <c r="C56" s="9">
        <v>0</v>
      </c>
      <c r="D56" s="10">
        <f>10695.76/1.18</f>
        <v>9064.203389830509</v>
      </c>
      <c r="E56" s="3"/>
    </row>
    <row r="57" spans="1:5" ht="15.75" hidden="1" x14ac:dyDescent="0.25">
      <c r="A57" s="95" t="s">
        <v>344</v>
      </c>
      <c r="B57" s="11"/>
      <c r="C57" s="9">
        <v>0</v>
      </c>
      <c r="D57" s="10">
        <f>2300/1.18</f>
        <v>1949.1525423728815</v>
      </c>
      <c r="E57" s="3"/>
    </row>
    <row r="58" spans="1:5" ht="15.75" hidden="1" x14ac:dyDescent="0.25">
      <c r="A58" s="131" t="s">
        <v>342</v>
      </c>
      <c r="B58" s="8"/>
      <c r="C58" s="9">
        <v>0</v>
      </c>
      <c r="D58" s="10">
        <v>0</v>
      </c>
      <c r="E58" s="3"/>
    </row>
    <row r="59" spans="1:5" ht="15.75" hidden="1" x14ac:dyDescent="0.25">
      <c r="A59" s="131" t="s">
        <v>278</v>
      </c>
      <c r="B59" s="8">
        <f>B13*'[4]32тарифы'!D184</f>
        <v>0</v>
      </c>
      <c r="C59" s="9"/>
      <c r="D59" s="10"/>
      <c r="E59" s="130">
        <f>B80+B46-B59+552.92</f>
        <v>64503.69999999999</v>
      </c>
    </row>
    <row r="60" spans="1:5" ht="15.75" hidden="1" x14ac:dyDescent="0.25">
      <c r="A60" s="110" t="s">
        <v>346</v>
      </c>
      <c r="B60" s="8"/>
      <c r="C60" s="9"/>
      <c r="D60" s="10"/>
      <c r="E60" s="3"/>
    </row>
    <row r="61" spans="1:5" ht="15.75" hidden="1" x14ac:dyDescent="0.25">
      <c r="A61" s="110" t="s">
        <v>280</v>
      </c>
      <c r="B61" s="8"/>
      <c r="C61" s="9"/>
      <c r="D61" s="10">
        <v>0</v>
      </c>
      <c r="E61" s="3"/>
    </row>
    <row r="62" spans="1:5" ht="15.75" hidden="1" x14ac:dyDescent="0.25">
      <c r="A62" s="127" t="s">
        <v>336</v>
      </c>
      <c r="B62" s="11"/>
      <c r="C62" s="9"/>
      <c r="D62" s="10">
        <v>0</v>
      </c>
      <c r="E62" s="3"/>
    </row>
    <row r="63" spans="1:5" ht="15.75" x14ac:dyDescent="0.25">
      <c r="A63" s="127" t="s">
        <v>397</v>
      </c>
      <c r="B63" s="132">
        <v>24628.12</v>
      </c>
      <c r="C63" s="30">
        <v>1</v>
      </c>
      <c r="D63" s="10">
        <v>0</v>
      </c>
      <c r="E63" s="3"/>
    </row>
    <row r="64" spans="1:5" ht="15.75" hidden="1" x14ac:dyDescent="0.25">
      <c r="A64" s="19" t="s">
        <v>283</v>
      </c>
      <c r="B64" s="132"/>
      <c r="C64" s="30">
        <v>80</v>
      </c>
      <c r="D64" s="10">
        <v>2</v>
      </c>
      <c r="E64" s="3">
        <v>1</v>
      </c>
    </row>
    <row r="65" spans="1:4" ht="15.75" x14ac:dyDescent="0.25">
      <c r="A65" s="19" t="s">
        <v>281</v>
      </c>
      <c r="B65" s="132">
        <v>68.709999999999994</v>
      </c>
      <c r="C65" s="32">
        <v>80</v>
      </c>
      <c r="D65" s="24">
        <f>650/1.18</f>
        <v>550.84745762711873</v>
      </c>
    </row>
    <row r="66" spans="1:4" s="4" customFormat="1" ht="15.75" x14ac:dyDescent="0.25">
      <c r="A66" s="133" t="s">
        <v>285</v>
      </c>
      <c r="B66" s="121">
        <f>SUM(B67:B74)</f>
        <v>260272.54264942952</v>
      </c>
      <c r="C66" s="23"/>
      <c r="D66" s="24"/>
    </row>
    <row r="67" spans="1:4" ht="15.75" hidden="1" x14ac:dyDescent="0.25">
      <c r="A67" s="110" t="s">
        <v>286</v>
      </c>
      <c r="B67" s="8"/>
      <c r="C67" s="23"/>
      <c r="D67" s="24"/>
    </row>
    <row r="68" spans="1:4" ht="15.75" x14ac:dyDescent="0.25">
      <c r="A68" s="127" t="s">
        <v>287</v>
      </c>
      <c r="B68" s="135">
        <f>1.04*77973.88*1.12*1.0952</f>
        <v>99470.417884364797</v>
      </c>
      <c r="C68" s="23"/>
      <c r="D68" s="24"/>
    </row>
    <row r="69" spans="1:4" ht="15.75" hidden="1" x14ac:dyDescent="0.25">
      <c r="A69" s="110" t="s">
        <v>288</v>
      </c>
      <c r="B69" s="8"/>
      <c r="C69" s="23"/>
      <c r="D69" s="24"/>
    </row>
    <row r="70" spans="1:4" ht="15.75" x14ac:dyDescent="0.25">
      <c r="A70" s="129" t="s">
        <v>289</v>
      </c>
      <c r="B70" s="11">
        <f>1.35*B15</f>
        <v>4827.4650000000001</v>
      </c>
      <c r="C70" s="23"/>
      <c r="D70" s="24"/>
    </row>
    <row r="71" spans="1:4" ht="15.75" x14ac:dyDescent="0.25">
      <c r="A71" s="129" t="s">
        <v>290</v>
      </c>
      <c r="B71" s="11">
        <f>5.06*B15</f>
        <v>18094.054</v>
      </c>
      <c r="C71" s="23"/>
      <c r="D71" s="24"/>
    </row>
    <row r="72" spans="1:4" ht="15.75" x14ac:dyDescent="0.25">
      <c r="A72" s="129" t="s">
        <v>291</v>
      </c>
      <c r="B72" s="11">
        <f>17.68*B15</f>
        <v>63221.912000000004</v>
      </c>
      <c r="C72" s="23"/>
      <c r="D72" s="24"/>
    </row>
    <row r="73" spans="1:4" ht="15.75" x14ac:dyDescent="0.25">
      <c r="A73" s="129" t="s">
        <v>292</v>
      </c>
      <c r="B73" s="11">
        <f>1.04*6197.17080308777*1.12*1.0952</f>
        <v>7905.6623767334031</v>
      </c>
      <c r="C73" s="23"/>
      <c r="D73" s="24"/>
    </row>
    <row r="74" spans="1:4" ht="15.75" x14ac:dyDescent="0.25">
      <c r="A74" s="129" t="s">
        <v>293</v>
      </c>
      <c r="B74" s="11">
        <f>1.04*52327.0432538127*1.12*1.0952</f>
        <v>66753.031388331336</v>
      </c>
      <c r="C74" s="23"/>
      <c r="D74" s="24"/>
    </row>
    <row r="75" spans="1:4" ht="63" x14ac:dyDescent="0.25">
      <c r="A75" s="136" t="s">
        <v>294</v>
      </c>
      <c r="B75" s="121">
        <f>SUM(B76:B76)</f>
        <v>133281.283968</v>
      </c>
      <c r="C75" s="23"/>
      <c r="D75" s="24"/>
    </row>
    <row r="76" spans="1:4" ht="15.75" x14ac:dyDescent="0.25">
      <c r="A76" s="129" t="s">
        <v>295</v>
      </c>
      <c r="B76" s="11">
        <f>108657*1.12*1.0952</f>
        <v>133281.283968</v>
      </c>
      <c r="C76" s="23"/>
      <c r="D76" s="24"/>
    </row>
    <row r="77" spans="1:4" s="4" customFormat="1" ht="15.75" x14ac:dyDescent="0.25">
      <c r="A77" s="133" t="s">
        <v>296</v>
      </c>
      <c r="B77" s="121">
        <f>SUM(B78:B81)</f>
        <v>121245.706621369</v>
      </c>
      <c r="C77" s="23"/>
      <c r="D77" s="24"/>
    </row>
    <row r="78" spans="1:4" ht="15.75" x14ac:dyDescent="0.25">
      <c r="A78" s="137" t="s">
        <v>297</v>
      </c>
      <c r="B78" s="11">
        <f>'[4]32тарифы'!D170*B15*1.12*1.0952</f>
        <v>94516.277890763668</v>
      </c>
      <c r="C78" s="23"/>
      <c r="D78" s="24"/>
    </row>
    <row r="79" spans="1:4" ht="15.75" x14ac:dyDescent="0.25">
      <c r="A79" s="137" t="s">
        <v>298</v>
      </c>
      <c r="B79" s="135">
        <f>(B26/1.2)*30%</f>
        <v>0</v>
      </c>
      <c r="C79" s="23"/>
      <c r="D79" s="24"/>
    </row>
    <row r="80" spans="1:4" ht="15.75" x14ac:dyDescent="0.25">
      <c r="A80" s="138" t="s">
        <v>299</v>
      </c>
      <c r="B80" s="11">
        <f>10683.84+8106.44</f>
        <v>18790.28</v>
      </c>
      <c r="C80" s="23"/>
      <c r="D80" s="24"/>
    </row>
    <row r="81" spans="1:4" ht="15.75" x14ac:dyDescent="0.25">
      <c r="A81" s="138" t="s">
        <v>300</v>
      </c>
      <c r="B81" s="11">
        <f>'[4]32тарифы'!D173*B13*1.12*1.01</f>
        <v>7939.1487306053286</v>
      </c>
      <c r="C81" s="23"/>
      <c r="D81" s="24"/>
    </row>
    <row r="82" spans="1:4" ht="15.75" x14ac:dyDescent="0.25">
      <c r="A82" s="233" t="s">
        <v>301</v>
      </c>
      <c r="B82" s="14">
        <f>B32+B42+B46+B66+B75+B77</f>
        <v>700295.05594166915</v>
      </c>
      <c r="C82" s="23"/>
      <c r="D82" s="24"/>
    </row>
    <row r="83" spans="1:4" ht="15.75" x14ac:dyDescent="0.25">
      <c r="A83" s="139" t="s">
        <v>302</v>
      </c>
      <c r="B83" s="11">
        <f>B82*0.03</f>
        <v>21008.851678250074</v>
      </c>
      <c r="C83" s="23"/>
      <c r="D83" s="24"/>
    </row>
    <row r="84" spans="1:4" s="18" customFormat="1" ht="15.75" x14ac:dyDescent="0.25">
      <c r="A84" s="140" t="s">
        <v>303</v>
      </c>
      <c r="B84" s="121">
        <f>B82+B83</f>
        <v>721303.90761991928</v>
      </c>
      <c r="C84" s="23"/>
      <c r="D84" s="24"/>
    </row>
    <row r="85" spans="1:4" ht="16.5" thickBot="1" x14ac:dyDescent="0.3">
      <c r="A85" s="141" t="s">
        <v>304</v>
      </c>
      <c r="B85" s="142">
        <f>B84*0.2</f>
        <v>144260.78152398387</v>
      </c>
      <c r="C85" s="23"/>
      <c r="D85" s="24"/>
    </row>
    <row r="86" spans="1:4" s="4" customFormat="1" ht="16.5" thickBot="1" x14ac:dyDescent="0.3">
      <c r="A86" s="38" t="s">
        <v>305</v>
      </c>
      <c r="B86" s="46">
        <f>B84+B85</f>
        <v>865564.68914390309</v>
      </c>
      <c r="C86" s="40"/>
      <c r="D86" s="41"/>
    </row>
    <row r="87" spans="1:4" s="4" customFormat="1" ht="16.5" thickBot="1" x14ac:dyDescent="0.3">
      <c r="A87" s="42" t="s">
        <v>306</v>
      </c>
      <c r="B87" s="46">
        <f>B10+B24+B26+B28+B29-B86</f>
        <v>-522825.54914390313</v>
      </c>
      <c r="C87" s="43"/>
      <c r="D87" s="43"/>
    </row>
    <row r="88" spans="1:4" s="4" customFormat="1" ht="16.5" hidden="1" thickBot="1" x14ac:dyDescent="0.3">
      <c r="A88" s="44" t="s">
        <v>307</v>
      </c>
      <c r="B88" s="46"/>
      <c r="C88" s="43"/>
      <c r="D88" s="43"/>
    </row>
    <row r="89" spans="1:4" s="4" customFormat="1" ht="16.5" hidden="1" thickBot="1" x14ac:dyDescent="0.3">
      <c r="A89" s="143" t="s">
        <v>308</v>
      </c>
      <c r="B89" s="46">
        <f>B11+B24-B25</f>
        <v>13596.139999999898</v>
      </c>
      <c r="C89" s="43"/>
      <c r="D89" s="43"/>
    </row>
    <row r="90" spans="1:4" ht="15.75" x14ac:dyDescent="0.25">
      <c r="A90" s="3"/>
      <c r="B90" s="130"/>
      <c r="C90" s="3"/>
      <c r="D90" s="3"/>
    </row>
    <row r="91" spans="1:4" ht="15.75" x14ac:dyDescent="0.25">
      <c r="A91" s="49"/>
      <c r="B91" s="3"/>
      <c r="C91" s="3"/>
      <c r="D91" s="3"/>
    </row>
    <row r="92" spans="1:4" ht="15.75" x14ac:dyDescent="0.25">
      <c r="A92" s="286" t="s">
        <v>542</v>
      </c>
      <c r="B92" s="286"/>
      <c r="C92" s="3"/>
      <c r="D92" s="3"/>
    </row>
    <row r="93" spans="1:4" ht="15.75" x14ac:dyDescent="0.25">
      <c r="A93" s="49"/>
      <c r="B93" s="3"/>
      <c r="C93" s="3"/>
      <c r="D93" s="3"/>
    </row>
    <row r="94" spans="1:4" ht="15.75" hidden="1" x14ac:dyDescent="0.25">
      <c r="A94" s="292" t="s">
        <v>399</v>
      </c>
      <c r="B94" s="292"/>
      <c r="C94" s="51"/>
      <c r="D94" s="3"/>
    </row>
    <row r="95" spans="1:4" ht="15.75" x14ac:dyDescent="0.25">
      <c r="A95" s="3"/>
      <c r="B95" s="3"/>
      <c r="C95" s="3"/>
      <c r="D95" s="3"/>
    </row>
  </sheetData>
  <autoFilter ref="A32:G54" xr:uid="{00000000-0009-0000-0000-000037000000}">
    <filterColumn colId="1">
      <filters>
        <filter val="1 569,73"/>
        <filter val="19 773,20"/>
        <filter val="2 934,39"/>
        <filter val="21 114,05"/>
        <filter val="3 671,64"/>
        <filter val="4 200,00"/>
        <filter val="4 458,42"/>
        <filter val="45 160,50"/>
        <filter val="94 943,65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4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filterMode="1">
    <pageSetUpPr fitToPage="1"/>
  </sheetPr>
  <dimension ref="A1:G95"/>
  <sheetViews>
    <sheetView view="pageBreakPreview" topLeftCell="A61" zoomScale="75" zoomScaleNormal="100" zoomScaleSheetLayoutView="75" workbookViewId="0">
      <selection activeCell="A24" sqref="A24:B24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121</v>
      </c>
      <c r="B5" s="184"/>
      <c r="C5" s="3"/>
      <c r="D5" s="3"/>
    </row>
    <row r="6" spans="1:4" ht="5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3.5" thickBot="1" x14ac:dyDescent="0.25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-1163120.71</v>
      </c>
      <c r="C10" s="226"/>
      <c r="D10" s="226"/>
    </row>
    <row r="11" spans="1:4" s="227" customFormat="1" ht="16.5" hidden="1" thickBot="1" x14ac:dyDescent="0.3">
      <c r="A11" s="228" t="s">
        <v>232</v>
      </c>
      <c r="B11" s="229"/>
      <c r="C11" s="230"/>
      <c r="D11" s="230"/>
    </row>
    <row r="12" spans="1:4" ht="15.75" x14ac:dyDescent="0.25">
      <c r="A12" s="231" t="s">
        <v>233</v>
      </c>
      <c r="B12" s="210"/>
      <c r="C12" s="5" t="s">
        <v>234</v>
      </c>
      <c r="D12" s="6" t="s">
        <v>234</v>
      </c>
    </row>
    <row r="13" spans="1:4" ht="15.75" hidden="1" x14ac:dyDescent="0.25">
      <c r="A13" s="107" t="s">
        <v>235</v>
      </c>
      <c r="B13" s="8">
        <v>1087.4000000000001</v>
      </c>
      <c r="C13" s="9" t="s">
        <v>234</v>
      </c>
      <c r="D13" s="10" t="s">
        <v>234</v>
      </c>
    </row>
    <row r="14" spans="1:4" ht="15.75" hidden="1" x14ac:dyDescent="0.25">
      <c r="A14" s="107" t="s">
        <v>236</v>
      </c>
      <c r="B14" s="8">
        <v>0</v>
      </c>
      <c r="C14" s="9"/>
      <c r="D14" s="10"/>
    </row>
    <row r="15" spans="1:4" ht="15.75" hidden="1" x14ac:dyDescent="0.25">
      <c r="A15" s="123" t="s">
        <v>237</v>
      </c>
      <c r="B15" s="11">
        <f>B13+B14</f>
        <v>1087.4000000000001</v>
      </c>
      <c r="C15" s="9"/>
      <c r="D15" s="10"/>
    </row>
    <row r="16" spans="1:4" ht="15.75" hidden="1" x14ac:dyDescent="0.25">
      <c r="A16" s="123" t="s">
        <v>238</v>
      </c>
      <c r="B16" s="11">
        <f>888.4+974.2/3</f>
        <v>1213.1333333333332</v>
      </c>
      <c r="C16" s="9" t="s">
        <v>234</v>
      </c>
      <c r="D16" s="10" t="s">
        <v>234</v>
      </c>
    </row>
    <row r="17" spans="1:7" ht="15.75" hidden="1" x14ac:dyDescent="0.25">
      <c r="A17" s="107" t="s">
        <v>239</v>
      </c>
      <c r="B17" s="8">
        <v>0</v>
      </c>
      <c r="C17" s="9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107" t="s">
        <v>240</v>
      </c>
      <c r="B18" s="8">
        <v>481.1</v>
      </c>
      <c r="C18" s="9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107" t="s">
        <v>241</v>
      </c>
      <c r="B19" s="8">
        <v>0</v>
      </c>
      <c r="C19" s="9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107" t="s">
        <v>242</v>
      </c>
      <c r="B20" s="8">
        <v>481.1</v>
      </c>
      <c r="C20" s="9"/>
      <c r="D20" s="10"/>
      <c r="E20" s="3"/>
      <c r="F20" s="3"/>
      <c r="G20" s="3"/>
    </row>
    <row r="21" spans="1:7" ht="15.75" hidden="1" x14ac:dyDescent="0.25">
      <c r="A21" s="107" t="s">
        <v>243</v>
      </c>
      <c r="B21" s="8">
        <v>0</v>
      </c>
      <c r="C21" s="9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107" t="s">
        <v>244</v>
      </c>
      <c r="B22" s="8">
        <v>140</v>
      </c>
      <c r="C22" s="9"/>
      <c r="D22" s="10"/>
      <c r="E22" s="3"/>
      <c r="F22" s="3"/>
      <c r="G22" s="3"/>
    </row>
    <row r="23" spans="1:7" ht="15.75" x14ac:dyDescent="0.25">
      <c r="A23" s="123"/>
      <c r="B23" s="11"/>
      <c r="C23" s="9"/>
      <c r="D23" s="10"/>
      <c r="E23" s="3">
        <v>10</v>
      </c>
      <c r="F23" s="3">
        <v>2</v>
      </c>
      <c r="G23" s="3"/>
    </row>
    <row r="24" spans="1:7" ht="15.75" x14ac:dyDescent="0.25">
      <c r="A24" s="259" t="s">
        <v>317</v>
      </c>
      <c r="B24" s="255">
        <f>VLOOKUP(A5,мкд!W:X,2,FALSE)</f>
        <v>556792.68000000005</v>
      </c>
      <c r="C24" s="9"/>
      <c r="D24" s="10"/>
      <c r="E24" s="3">
        <v>33.21</v>
      </c>
      <c r="F24" s="3">
        <v>37.175274000000002</v>
      </c>
      <c r="G24" s="3"/>
    </row>
    <row r="25" spans="1:7" ht="15.75" x14ac:dyDescent="0.25">
      <c r="A25" s="124" t="s">
        <v>318</v>
      </c>
      <c r="B25" s="14">
        <f>VLOOKUP(A5,мкд!W:Y,3,FALSE)</f>
        <v>526431.4</v>
      </c>
      <c r="C25" s="9"/>
      <c r="D25" s="10"/>
      <c r="E25" s="3"/>
      <c r="F25" s="3"/>
      <c r="G25" s="3"/>
    </row>
    <row r="26" spans="1:7" ht="15.75" hidden="1" x14ac:dyDescent="0.25">
      <c r="A26" s="124" t="s">
        <v>348</v>
      </c>
      <c r="B26" s="14"/>
      <c r="C26" s="9"/>
      <c r="D26" s="10"/>
      <c r="E26" s="3"/>
      <c r="F26" s="3"/>
      <c r="G26" s="3"/>
    </row>
    <row r="27" spans="1:7" ht="15.75" hidden="1" x14ac:dyDescent="0.25">
      <c r="A27" s="124" t="s">
        <v>349</v>
      </c>
      <c r="B27" s="14"/>
      <c r="C27" s="9"/>
      <c r="D27" s="10"/>
      <c r="E27" s="3"/>
      <c r="F27" s="3"/>
      <c r="G27" s="3"/>
    </row>
    <row r="28" spans="1:7" ht="15.75" x14ac:dyDescent="0.25">
      <c r="A28" s="124" t="s">
        <v>391</v>
      </c>
      <c r="B28" s="14">
        <v>7154.31</v>
      </c>
      <c r="C28" s="9"/>
      <c r="D28" s="10"/>
      <c r="E28" s="3"/>
      <c r="F28" s="3"/>
      <c r="G28" s="3"/>
    </row>
    <row r="29" spans="1:7" ht="15.75" hidden="1" x14ac:dyDescent="0.25">
      <c r="A29" s="124" t="s">
        <v>421</v>
      </c>
      <c r="B29" s="14"/>
      <c r="C29" s="9"/>
      <c r="D29" s="10"/>
      <c r="E29" s="3"/>
      <c r="F29" s="3"/>
      <c r="G29" s="3"/>
    </row>
    <row r="30" spans="1:7" ht="15.75" x14ac:dyDescent="0.25">
      <c r="A30" s="125"/>
      <c r="B30" s="11"/>
      <c r="C30" s="9"/>
      <c r="D30" s="10"/>
      <c r="E30" s="3"/>
      <c r="F30" s="3"/>
      <c r="G30" s="3"/>
    </row>
    <row r="31" spans="1:7" ht="15.75" x14ac:dyDescent="0.25">
      <c r="A31" s="232" t="s">
        <v>251</v>
      </c>
      <c r="B31" s="11"/>
      <c r="C31" s="9"/>
      <c r="D31" s="10"/>
      <c r="E31" s="3"/>
      <c r="F31" s="3"/>
      <c r="G31" s="3"/>
    </row>
    <row r="32" spans="1:7" s="18" customFormat="1" ht="31.5" x14ac:dyDescent="0.25">
      <c r="A32" s="126" t="s">
        <v>252</v>
      </c>
      <c r="B32" s="121">
        <f>SUM(B33:B41)</f>
        <v>100330.90999999999</v>
      </c>
      <c r="C32" s="9"/>
      <c r="D32" s="10"/>
      <c r="E32" s="17">
        <f>(B86-B24-B26)/1.2/1.03</f>
        <v>141629.87147051594</v>
      </c>
      <c r="F32" s="17" t="e">
        <f>(#REF!-#REF!-#REF!)/1.2/1.03</f>
        <v>#REF!</v>
      </c>
      <c r="G32" s="17" t="e">
        <f>(#REF!-#REF!-#REF!)/1.2/1.03</f>
        <v>#REF!</v>
      </c>
    </row>
    <row r="33" spans="1:7" ht="16.5" x14ac:dyDescent="0.25">
      <c r="A33" s="127" t="s">
        <v>253</v>
      </c>
      <c r="B33" s="145">
        <v>42260.04</v>
      </c>
      <c r="C33" s="9"/>
      <c r="D33" s="10">
        <v>24235.87</v>
      </c>
      <c r="E33" s="3"/>
      <c r="F33" s="3"/>
      <c r="G33" s="3"/>
    </row>
    <row r="34" spans="1:7" ht="18" customHeight="1" x14ac:dyDescent="0.25">
      <c r="A34" s="128" t="s">
        <v>320</v>
      </c>
      <c r="B34" s="145">
        <v>25811.02</v>
      </c>
      <c r="C34" s="9"/>
      <c r="D34" s="10">
        <v>0</v>
      </c>
      <c r="E34" s="3"/>
      <c r="F34" s="3"/>
      <c r="G34" s="3"/>
    </row>
    <row r="35" spans="1:7" ht="16.5" x14ac:dyDescent="0.25">
      <c r="A35" s="146" t="s">
        <v>547</v>
      </c>
      <c r="B35" s="8">
        <v>14673.4</v>
      </c>
      <c r="C35" s="9"/>
      <c r="D35" s="10">
        <v>0</v>
      </c>
      <c r="E35" s="3"/>
      <c r="F35" s="3"/>
      <c r="G35" s="3"/>
    </row>
    <row r="36" spans="1:7" ht="15.75" x14ac:dyDescent="0.25">
      <c r="A36" s="127" t="s">
        <v>255</v>
      </c>
      <c r="B36" s="11">
        <v>2750.87</v>
      </c>
      <c r="C36" s="9" t="s">
        <v>234</v>
      </c>
      <c r="D36" s="10">
        <v>0</v>
      </c>
      <c r="E36" s="3"/>
      <c r="F36" s="3"/>
      <c r="G36" s="3"/>
    </row>
    <row r="37" spans="1:7" ht="16.5" x14ac:dyDescent="0.25">
      <c r="A37" s="146" t="s">
        <v>256</v>
      </c>
      <c r="B37" s="11">
        <v>14835.58</v>
      </c>
      <c r="C37" s="9"/>
      <c r="D37" s="10">
        <v>0</v>
      </c>
      <c r="E37" s="3"/>
      <c r="F37" s="3"/>
      <c r="G37" s="3"/>
    </row>
    <row r="38" spans="1:7" ht="16.5" hidden="1" x14ac:dyDescent="0.25">
      <c r="A38" s="146" t="s">
        <v>425</v>
      </c>
      <c r="B38" s="11"/>
      <c r="C38" s="9"/>
      <c r="D38" s="10">
        <v>0</v>
      </c>
      <c r="E38" s="3"/>
      <c r="F38" s="3"/>
      <c r="G38" s="3"/>
    </row>
    <row r="39" spans="1:7" ht="16.5" hidden="1" x14ac:dyDescent="0.25">
      <c r="A39" s="147" t="s">
        <v>426</v>
      </c>
      <c r="B39" s="8"/>
      <c r="C39" s="9"/>
      <c r="D39" s="10">
        <v>0</v>
      </c>
      <c r="E39" s="3"/>
      <c r="F39" s="3"/>
      <c r="G39" s="3"/>
    </row>
    <row r="40" spans="1:7" ht="15.75" hidden="1" x14ac:dyDescent="0.25">
      <c r="A40" s="19" t="s">
        <v>310</v>
      </c>
      <c r="B40" s="11"/>
      <c r="C40" s="9"/>
      <c r="D40" s="10"/>
      <c r="E40" s="3"/>
      <c r="F40" s="3"/>
      <c r="G40" s="3"/>
    </row>
    <row r="41" spans="1:7" ht="15.75" hidden="1" x14ac:dyDescent="0.25">
      <c r="A41" s="19" t="s">
        <v>392</v>
      </c>
      <c r="B41" s="11"/>
      <c r="C41" s="9"/>
      <c r="D41" s="10"/>
      <c r="E41" s="3"/>
      <c r="F41" s="3"/>
      <c r="G41" s="3"/>
    </row>
    <row r="42" spans="1:7" s="18" customFormat="1" ht="47.25" x14ac:dyDescent="0.25">
      <c r="A42" s="126" t="s">
        <v>393</v>
      </c>
      <c r="B42" s="121">
        <f>SUM(B43:B45)</f>
        <v>32411.597930910131</v>
      </c>
      <c r="C42" s="9"/>
      <c r="D42" s="10"/>
      <c r="E42" s="17"/>
      <c r="F42" s="17"/>
      <c r="G42" s="17"/>
    </row>
    <row r="43" spans="1:7" ht="15.75" x14ac:dyDescent="0.25">
      <c r="A43" s="19" t="s">
        <v>262</v>
      </c>
      <c r="B43" s="11">
        <v>4146.54</v>
      </c>
      <c r="C43" s="23"/>
      <c r="D43" s="24"/>
      <c r="E43" s="3"/>
      <c r="F43" s="3"/>
      <c r="G43" s="3"/>
    </row>
    <row r="44" spans="1:7" ht="15.75" x14ac:dyDescent="0.25">
      <c r="A44" s="19" t="s">
        <v>263</v>
      </c>
      <c r="B44" s="11">
        <v>21398.05</v>
      </c>
      <c r="C44" s="23"/>
      <c r="D44" s="24"/>
      <c r="E44" s="3"/>
      <c r="F44" s="3"/>
      <c r="G44" s="3"/>
    </row>
    <row r="45" spans="1:7" ht="15.75" x14ac:dyDescent="0.25">
      <c r="A45" s="129" t="s">
        <v>264</v>
      </c>
      <c r="B45" s="11">
        <f>'[4]32тарифы'!D163*B15*1.0952+489.84*1.12</f>
        <v>6867.007930910132</v>
      </c>
      <c r="C45" s="23"/>
      <c r="D45" s="24"/>
      <c r="E45" s="3"/>
      <c r="F45" s="3"/>
      <c r="G45" s="3"/>
    </row>
    <row r="46" spans="1:7" s="4" customFormat="1" ht="15.75" x14ac:dyDescent="0.25">
      <c r="A46" s="126" t="s">
        <v>265</v>
      </c>
      <c r="B46" s="121">
        <f>SUM(B47:B65)</f>
        <v>257760.18</v>
      </c>
      <c r="C46" s="9"/>
      <c r="D46" s="10"/>
    </row>
    <row r="47" spans="1:7" ht="15.75" x14ac:dyDescent="0.25">
      <c r="A47" s="127" t="s">
        <v>324</v>
      </c>
      <c r="B47" s="11">
        <v>2020.68</v>
      </c>
      <c r="C47" s="9"/>
      <c r="D47" s="10"/>
      <c r="E47" s="3" t="s">
        <v>267</v>
      </c>
      <c r="F47" s="3"/>
      <c r="G47" s="3"/>
    </row>
    <row r="48" spans="1:7" ht="15.75" x14ac:dyDescent="0.25">
      <c r="A48" s="127" t="s">
        <v>315</v>
      </c>
      <c r="B48" s="11">
        <v>2453.64</v>
      </c>
      <c r="C48" s="9"/>
      <c r="D48" s="10"/>
      <c r="E48" s="3" t="s">
        <v>269</v>
      </c>
      <c r="F48" s="3"/>
      <c r="G48" s="3"/>
    </row>
    <row r="49" spans="1:5" ht="15.75" hidden="1" x14ac:dyDescent="0.25">
      <c r="A49" s="95" t="s">
        <v>388</v>
      </c>
      <c r="B49" s="11"/>
      <c r="C49" s="9"/>
      <c r="D49" s="10"/>
      <c r="E49" s="3"/>
    </row>
    <row r="50" spans="1:5" ht="15.75" hidden="1" x14ac:dyDescent="0.25">
      <c r="A50" s="131" t="s">
        <v>373</v>
      </c>
      <c r="B50" s="8"/>
      <c r="C50" s="9"/>
      <c r="D50" s="10"/>
      <c r="E50" s="3"/>
    </row>
    <row r="51" spans="1:5" ht="15.75" hidden="1" x14ac:dyDescent="0.25">
      <c r="A51" s="95" t="s">
        <v>314</v>
      </c>
      <c r="B51" s="11"/>
      <c r="C51" s="9"/>
      <c r="D51" s="10"/>
      <c r="E51" s="3"/>
    </row>
    <row r="52" spans="1:5" ht="15.75" hidden="1" x14ac:dyDescent="0.25">
      <c r="A52" s="95" t="s">
        <v>427</v>
      </c>
      <c r="B52" s="11"/>
      <c r="C52" s="9"/>
      <c r="D52" s="10">
        <v>105.14</v>
      </c>
      <c r="E52" s="3"/>
    </row>
    <row r="53" spans="1:5" ht="15.75" hidden="1" x14ac:dyDescent="0.25">
      <c r="A53" s="131" t="s">
        <v>274</v>
      </c>
      <c r="B53" s="8"/>
      <c r="C53" s="9">
        <v>0</v>
      </c>
      <c r="D53" s="10">
        <v>522.99</v>
      </c>
      <c r="E53" s="3"/>
    </row>
    <row r="54" spans="1:5" ht="15.75" hidden="1" x14ac:dyDescent="0.25">
      <c r="A54" s="111" t="s">
        <v>275</v>
      </c>
      <c r="B54" s="8"/>
      <c r="C54" s="9"/>
      <c r="D54" s="28"/>
      <c r="E54" s="3"/>
    </row>
    <row r="55" spans="1:5" ht="15.75" hidden="1" x14ac:dyDescent="0.25">
      <c r="A55" s="95" t="s">
        <v>403</v>
      </c>
      <c r="B55" s="11"/>
      <c r="C55" s="9"/>
      <c r="D55" s="28"/>
      <c r="E55" s="3"/>
    </row>
    <row r="56" spans="1:5" ht="15.75" x14ac:dyDescent="0.25">
      <c r="A56" s="95" t="s">
        <v>277</v>
      </c>
      <c r="B56" s="11">
        <v>48000</v>
      </c>
      <c r="C56" s="9">
        <v>1</v>
      </c>
      <c r="D56" s="10">
        <v>5306.39</v>
      </c>
      <c r="E56" s="3"/>
    </row>
    <row r="57" spans="1:5" ht="15.75" x14ac:dyDescent="0.25">
      <c r="A57" s="95" t="s">
        <v>518</v>
      </c>
      <c r="B57" s="11">
        <v>9962.27</v>
      </c>
      <c r="C57" s="9">
        <v>0</v>
      </c>
      <c r="D57" s="10">
        <f>2300/1.18</f>
        <v>1949.1525423728815</v>
      </c>
      <c r="E57" s="130">
        <f>B80+B46-B59+564.85</f>
        <v>280521.58999999997</v>
      </c>
    </row>
    <row r="58" spans="1:5" ht="15.75" hidden="1" x14ac:dyDescent="0.25">
      <c r="A58" s="131" t="s">
        <v>313</v>
      </c>
      <c r="B58" s="8"/>
      <c r="C58" s="9">
        <v>0</v>
      </c>
      <c r="D58" s="10">
        <v>0</v>
      </c>
      <c r="E58" s="3"/>
    </row>
    <row r="59" spans="1:5" ht="15.75" hidden="1" x14ac:dyDescent="0.25">
      <c r="A59" s="131" t="s">
        <v>278</v>
      </c>
      <c r="B59" s="8">
        <f>B13*'[4]32тарифы'!D184</f>
        <v>0</v>
      </c>
      <c r="C59" s="9"/>
      <c r="D59" s="10"/>
      <c r="E59" s="3"/>
    </row>
    <row r="60" spans="1:5" ht="15.75" hidden="1" x14ac:dyDescent="0.25">
      <c r="A60" s="110" t="s">
        <v>346</v>
      </c>
      <c r="B60" s="8"/>
      <c r="C60" s="9"/>
      <c r="D60" s="10"/>
      <c r="E60" s="3"/>
    </row>
    <row r="61" spans="1:5" ht="18" customHeight="1" x14ac:dyDescent="0.25">
      <c r="A61" s="110" t="s">
        <v>520</v>
      </c>
      <c r="B61" s="8">
        <v>4200</v>
      </c>
      <c r="C61" s="9"/>
      <c r="D61" s="10">
        <v>0</v>
      </c>
      <c r="E61" s="3"/>
    </row>
    <row r="62" spans="1:5" ht="15.75" x14ac:dyDescent="0.25">
      <c r="A62" s="127" t="s">
        <v>281</v>
      </c>
      <c r="B62" s="11">
        <v>1680.05</v>
      </c>
      <c r="C62" s="9"/>
      <c r="D62" s="10">
        <v>0</v>
      </c>
      <c r="E62" s="3"/>
    </row>
    <row r="63" spans="1:5" ht="15.75" x14ac:dyDescent="0.25">
      <c r="A63" s="127" t="s">
        <v>325</v>
      </c>
      <c r="B63" s="132">
        <v>8409.92</v>
      </c>
      <c r="C63" s="30">
        <v>1</v>
      </c>
      <c r="D63" s="10">
        <v>0</v>
      </c>
      <c r="E63" s="3"/>
    </row>
    <row r="64" spans="1:5" ht="15.75" customHeight="1" x14ac:dyDescent="0.25">
      <c r="A64" s="19" t="s">
        <v>519</v>
      </c>
      <c r="B64" s="132">
        <v>179000</v>
      </c>
      <c r="C64" s="30">
        <v>86</v>
      </c>
      <c r="D64" s="10">
        <v>0.08</v>
      </c>
      <c r="E64" s="3">
        <v>0</v>
      </c>
    </row>
    <row r="65" spans="1:4" ht="15.75" x14ac:dyDescent="0.25">
      <c r="A65" s="19" t="s">
        <v>528</v>
      </c>
      <c r="B65" s="132">
        <v>2033.62</v>
      </c>
      <c r="C65" s="32"/>
      <c r="D65" s="24">
        <v>0</v>
      </c>
    </row>
    <row r="66" spans="1:4" s="4" customFormat="1" ht="15.75" x14ac:dyDescent="0.25">
      <c r="A66" s="133" t="s">
        <v>285</v>
      </c>
      <c r="B66" s="121">
        <f>SUM(B67:B74)</f>
        <v>107725.45292804269</v>
      </c>
      <c r="C66" s="23"/>
      <c r="D66" s="24"/>
    </row>
    <row r="67" spans="1:4" ht="15.75" hidden="1" x14ac:dyDescent="0.25">
      <c r="A67" s="110" t="s">
        <v>286</v>
      </c>
      <c r="B67" s="8"/>
      <c r="C67" s="23"/>
      <c r="D67" s="24"/>
    </row>
    <row r="68" spans="1:4" ht="15.75" x14ac:dyDescent="0.25">
      <c r="A68" s="127" t="s">
        <v>287</v>
      </c>
      <c r="B68" s="135">
        <f>1.04*46113.85*1.12*1.0952</f>
        <v>58826.929348096004</v>
      </c>
      <c r="C68" s="23"/>
      <c r="D68" s="24"/>
    </row>
    <row r="69" spans="1:4" ht="15.75" hidden="1" x14ac:dyDescent="0.25">
      <c r="A69" s="110" t="s">
        <v>288</v>
      </c>
      <c r="B69" s="8"/>
      <c r="C69" s="23"/>
      <c r="D69" s="24"/>
    </row>
    <row r="70" spans="1:4" ht="15.75" x14ac:dyDescent="0.25">
      <c r="A70" s="129" t="s">
        <v>289</v>
      </c>
      <c r="B70" s="11">
        <f>1.35*B15</f>
        <v>1467.9900000000002</v>
      </c>
      <c r="C70" s="23"/>
      <c r="D70" s="24"/>
    </row>
    <row r="71" spans="1:4" ht="15.75" x14ac:dyDescent="0.25">
      <c r="A71" s="129" t="s">
        <v>290</v>
      </c>
      <c r="B71" s="11">
        <f>5.06*B15</f>
        <v>5502.2439999999997</v>
      </c>
      <c r="C71" s="23"/>
      <c r="D71" s="24"/>
    </row>
    <row r="72" spans="1:4" ht="15.75" x14ac:dyDescent="0.25">
      <c r="A72" s="129" t="s">
        <v>291</v>
      </c>
      <c r="B72" s="11">
        <f>17.68*B15</f>
        <v>19225.232</v>
      </c>
      <c r="C72" s="23"/>
      <c r="D72" s="24"/>
    </row>
    <row r="73" spans="1:4" ht="15.75" x14ac:dyDescent="0.25">
      <c r="A73" s="129" t="s">
        <v>292</v>
      </c>
      <c r="B73" s="11">
        <f>1.04*1884.50558776186*1.12*1.0952</f>
        <v>2404.0429733661158</v>
      </c>
      <c r="C73" s="23"/>
      <c r="D73" s="24"/>
    </row>
    <row r="74" spans="1:4" ht="15.75" x14ac:dyDescent="0.25">
      <c r="A74" s="129" t="s">
        <v>293</v>
      </c>
      <c r="B74" s="11">
        <f>1.04*15912.197442377*1.12*1.0952</f>
        <v>20299.014606580578</v>
      </c>
      <c r="C74" s="23"/>
      <c r="D74" s="24"/>
    </row>
    <row r="75" spans="1:4" ht="63" x14ac:dyDescent="0.25">
      <c r="A75" s="136" t="s">
        <v>294</v>
      </c>
      <c r="B75" s="121">
        <f>SUM(B76:B76)</f>
        <v>40528.883584000003</v>
      </c>
      <c r="C75" s="23"/>
      <c r="D75" s="24"/>
    </row>
    <row r="76" spans="1:4" ht="15.75" x14ac:dyDescent="0.25">
      <c r="A76" s="129" t="s">
        <v>295</v>
      </c>
      <c r="B76" s="11">
        <f>33041*1.12*1.0952</f>
        <v>40528.883584000003</v>
      </c>
      <c r="C76" s="23"/>
      <c r="D76" s="24"/>
    </row>
    <row r="77" spans="1:4" s="4" customFormat="1" ht="15.75" x14ac:dyDescent="0.25">
      <c r="A77" s="133" t="s">
        <v>296</v>
      </c>
      <c r="B77" s="121">
        <f>SUM(B78:B81)</f>
        <v>53352.361590669934</v>
      </c>
      <c r="C77" s="23"/>
      <c r="D77" s="24"/>
    </row>
    <row r="78" spans="1:4" ht="15.75" x14ac:dyDescent="0.25">
      <c r="A78" s="137" t="s">
        <v>297</v>
      </c>
      <c r="B78" s="11">
        <f>'[4]32тарифы'!D170*B15*1.12*1.0952</f>
        <v>28741.575709168716</v>
      </c>
      <c r="C78" s="23"/>
      <c r="D78" s="24"/>
    </row>
    <row r="79" spans="1:4" ht="15.75" hidden="1" x14ac:dyDescent="0.25">
      <c r="A79" s="137" t="s">
        <v>298</v>
      </c>
      <c r="B79" s="135">
        <f>(B26/1.2)*30%</f>
        <v>0</v>
      </c>
      <c r="C79" s="23"/>
      <c r="D79" s="24"/>
    </row>
    <row r="80" spans="1:4" ht="15.75" x14ac:dyDescent="0.25">
      <c r="A80" s="138" t="s">
        <v>299</v>
      </c>
      <c r="B80" s="11">
        <f>11617.91+10578.65</f>
        <v>22196.559999999998</v>
      </c>
      <c r="C80" s="23"/>
      <c r="D80" s="24"/>
    </row>
    <row r="81" spans="1:4" ht="15.75" x14ac:dyDescent="0.25">
      <c r="A81" s="138" t="s">
        <v>300</v>
      </c>
      <c r="B81" s="11">
        <f>'[4]32тарифы'!D173*B13*1.12*1.01</f>
        <v>2414.225881501226</v>
      </c>
      <c r="C81" s="23"/>
      <c r="D81" s="24"/>
    </row>
    <row r="82" spans="1:4" ht="15.75" x14ac:dyDescent="0.25">
      <c r="A82" s="233" t="s">
        <v>301</v>
      </c>
      <c r="B82" s="14">
        <f>B32+B42+B46+B66+B75+B77</f>
        <v>592109.38603362278</v>
      </c>
      <c r="C82" s="23"/>
      <c r="D82" s="24"/>
    </row>
    <row r="83" spans="1:4" ht="15.75" x14ac:dyDescent="0.25">
      <c r="A83" s="139" t="s">
        <v>302</v>
      </c>
      <c r="B83" s="11">
        <f>B82*0.03</f>
        <v>17763.281581008683</v>
      </c>
      <c r="C83" s="23"/>
      <c r="D83" s="24"/>
    </row>
    <row r="84" spans="1:4" s="18" customFormat="1" ht="15.75" x14ac:dyDescent="0.25">
      <c r="A84" s="140" t="s">
        <v>303</v>
      </c>
      <c r="B84" s="121">
        <f>B82+B83</f>
        <v>609872.66761463147</v>
      </c>
      <c r="C84" s="23"/>
      <c r="D84" s="24"/>
    </row>
    <row r="85" spans="1:4" ht="16.5" thickBot="1" x14ac:dyDescent="0.3">
      <c r="A85" s="141" t="s">
        <v>304</v>
      </c>
      <c r="B85" s="142">
        <f>B84*0.2</f>
        <v>121974.5335229263</v>
      </c>
      <c r="C85" s="23"/>
      <c r="D85" s="24"/>
    </row>
    <row r="86" spans="1:4" s="4" customFormat="1" ht="16.5" thickBot="1" x14ac:dyDescent="0.3">
      <c r="A86" s="38" t="s">
        <v>305</v>
      </c>
      <c r="B86" s="46">
        <f>B84+B85</f>
        <v>731847.20113755774</v>
      </c>
      <c r="C86" s="40"/>
      <c r="D86" s="41"/>
    </row>
    <row r="87" spans="1:4" s="4" customFormat="1" ht="16.5" thickBot="1" x14ac:dyDescent="0.3">
      <c r="A87" s="42" t="s">
        <v>306</v>
      </c>
      <c r="B87" s="46">
        <f>B10+B24+B26+B28+B29-B86</f>
        <v>-1331020.9211375576</v>
      </c>
      <c r="C87" s="43"/>
      <c r="D87" s="43"/>
    </row>
    <row r="88" spans="1:4" s="4" customFormat="1" ht="16.5" hidden="1" thickBot="1" x14ac:dyDescent="0.3">
      <c r="A88" s="44" t="s">
        <v>307</v>
      </c>
      <c r="B88" s="46"/>
      <c r="C88" s="43"/>
      <c r="D88" s="43"/>
    </row>
    <row r="89" spans="1:4" s="4" customFormat="1" ht="16.5" hidden="1" thickBot="1" x14ac:dyDescent="0.3">
      <c r="A89" s="143" t="s">
        <v>308</v>
      </c>
      <c r="B89" s="46"/>
      <c r="C89" s="43"/>
      <c r="D89" s="43"/>
    </row>
    <row r="90" spans="1:4" ht="15.75" x14ac:dyDescent="0.25">
      <c r="A90" s="3"/>
      <c r="B90" s="130"/>
      <c r="C90" s="3"/>
      <c r="D90" s="3"/>
    </row>
    <row r="91" spans="1:4" ht="15.75" x14ac:dyDescent="0.25">
      <c r="A91" s="49"/>
      <c r="B91" s="3"/>
      <c r="C91" s="3"/>
      <c r="D91" s="3"/>
    </row>
    <row r="92" spans="1:4" ht="15.75" x14ac:dyDescent="0.25">
      <c r="A92" s="286" t="s">
        <v>542</v>
      </c>
      <c r="B92" s="286"/>
      <c r="C92" s="3"/>
      <c r="D92" s="3"/>
    </row>
    <row r="93" spans="1:4" ht="15.75" x14ac:dyDescent="0.25">
      <c r="A93" s="49"/>
      <c r="B93" s="3"/>
      <c r="C93" s="3"/>
      <c r="D93" s="3"/>
    </row>
    <row r="94" spans="1:4" ht="15.75" hidden="1" x14ac:dyDescent="0.25">
      <c r="A94" s="292" t="s">
        <v>399</v>
      </c>
      <c r="B94" s="292"/>
      <c r="C94" s="51"/>
      <c r="D94" s="3"/>
    </row>
    <row r="95" spans="1:4" ht="15.75" x14ac:dyDescent="0.25">
      <c r="A95" s="3"/>
      <c r="B95" s="3"/>
      <c r="C95" s="3"/>
      <c r="D95" s="3"/>
    </row>
  </sheetData>
  <autoFilter ref="A32:G89" xr:uid="{00000000-0009-0000-0000-000038000000}">
    <filterColumn colId="1">
      <filters>
        <filter val="-1 331 020,92"/>
        <filter val="1 467,99"/>
        <filter val="1 680,05"/>
        <filter val="107 725,45"/>
        <filter val="121 974,53"/>
        <filter val="14 673,40"/>
        <filter val="14 835,58"/>
        <filter val="17 763,28"/>
        <filter val="179 000,00"/>
        <filter val="19 225,23"/>
        <filter val="2 020,68"/>
        <filter val="2 033,62"/>
        <filter val="2 404,04"/>
        <filter val="2 414,23"/>
        <filter val="2 453,64"/>
        <filter val="2 750,87"/>
        <filter val="20 299,01"/>
        <filter val="21 398,05"/>
        <filter val="22 196,56"/>
        <filter val="25 811,02"/>
        <filter val="257 760,18"/>
        <filter val="28 741,58"/>
        <filter val="32 411,60"/>
        <filter val="4 146,54"/>
        <filter val="4 200,00"/>
        <filter val="40 528,88"/>
        <filter val="42 260,04"/>
        <filter val="48 000,00"/>
        <filter val="5 502,24"/>
        <filter val="53 352,36"/>
        <filter val="58 826,93"/>
        <filter val="592 109,39"/>
        <filter val="6 867,01"/>
        <filter val="609 872,67"/>
        <filter val="731 847,20"/>
        <filter val="8 409,92"/>
        <filter val="9 962,27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filterMode="1">
    <pageSetUpPr fitToPage="1"/>
  </sheetPr>
  <dimension ref="A1:G95"/>
  <sheetViews>
    <sheetView view="pageBreakPreview" topLeftCell="A52" zoomScale="75" zoomScaleNormal="100" zoomScaleSheetLayoutView="75" workbookViewId="0">
      <selection activeCell="A24" sqref="A24:B24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122</v>
      </c>
      <c r="B5" s="184"/>
      <c r="C5" s="3"/>
      <c r="D5" s="3"/>
    </row>
    <row r="6" spans="1:4" ht="5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3.5" thickBot="1" x14ac:dyDescent="0.25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-776965.61</v>
      </c>
      <c r="C10" s="226"/>
      <c r="D10" s="226"/>
    </row>
    <row r="11" spans="1:4" s="227" customFormat="1" ht="16.5" hidden="1" thickBot="1" x14ac:dyDescent="0.3">
      <c r="A11" s="228" t="s">
        <v>232</v>
      </c>
      <c r="B11" s="229"/>
      <c r="C11" s="230"/>
      <c r="D11" s="230"/>
    </row>
    <row r="12" spans="1:4" ht="15.75" x14ac:dyDescent="0.25">
      <c r="A12" s="231" t="s">
        <v>233</v>
      </c>
      <c r="B12" s="210"/>
      <c r="C12" s="5" t="s">
        <v>234</v>
      </c>
      <c r="D12" s="6" t="s">
        <v>234</v>
      </c>
    </row>
    <row r="13" spans="1:4" ht="15.75" hidden="1" x14ac:dyDescent="0.25">
      <c r="A13" s="107" t="s">
        <v>235</v>
      </c>
      <c r="B13" s="8">
        <v>4491</v>
      </c>
      <c r="C13" s="9" t="s">
        <v>234</v>
      </c>
      <c r="D13" s="10" t="s">
        <v>234</v>
      </c>
    </row>
    <row r="14" spans="1:4" ht="15.75" hidden="1" x14ac:dyDescent="0.25">
      <c r="A14" s="107" t="s">
        <v>236</v>
      </c>
      <c r="B14" s="8">
        <v>860.2</v>
      </c>
      <c r="C14" s="9"/>
      <c r="D14" s="10"/>
    </row>
    <row r="15" spans="1:4" ht="15.75" hidden="1" x14ac:dyDescent="0.25">
      <c r="A15" s="123" t="s">
        <v>237</v>
      </c>
      <c r="B15" s="11">
        <f>B13+B14</f>
        <v>5351.2</v>
      </c>
      <c r="C15" s="9"/>
      <c r="D15" s="10"/>
    </row>
    <row r="16" spans="1:4" ht="15.75" hidden="1" x14ac:dyDescent="0.25">
      <c r="A16" s="123" t="s">
        <v>238</v>
      </c>
      <c r="B16" s="11">
        <f>1754.5+2367.3/3</f>
        <v>2543.6</v>
      </c>
      <c r="C16" s="9" t="s">
        <v>234</v>
      </c>
      <c r="D16" s="10" t="s">
        <v>234</v>
      </c>
    </row>
    <row r="17" spans="1:7" ht="15.75" hidden="1" x14ac:dyDescent="0.25">
      <c r="A17" s="107" t="s">
        <v>239</v>
      </c>
      <c r="B17" s="8">
        <v>0</v>
      </c>
      <c r="C17" s="9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107" t="s">
        <v>240</v>
      </c>
      <c r="B18" s="8">
        <v>1431.3</v>
      </c>
      <c r="C18" s="9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107" t="s">
        <v>241</v>
      </c>
      <c r="B19" s="8">
        <v>840</v>
      </c>
      <c r="C19" s="9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107" t="s">
        <v>242</v>
      </c>
      <c r="B20" s="8">
        <v>1574.4</v>
      </c>
      <c r="C20" s="9"/>
      <c r="D20" s="10"/>
      <c r="E20" s="3"/>
      <c r="F20" s="3"/>
      <c r="G20" s="3"/>
    </row>
    <row r="21" spans="1:7" ht="15.75" hidden="1" x14ac:dyDescent="0.25">
      <c r="A21" s="107" t="s">
        <v>243</v>
      </c>
      <c r="B21" s="8">
        <v>0</v>
      </c>
      <c r="C21" s="9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107" t="s">
        <v>244</v>
      </c>
      <c r="B22" s="8">
        <v>218</v>
      </c>
      <c r="C22" s="9"/>
      <c r="D22" s="10"/>
      <c r="E22" s="3"/>
      <c r="F22" s="3"/>
      <c r="G22" s="3"/>
    </row>
    <row r="23" spans="1:7" ht="15.75" x14ac:dyDescent="0.25">
      <c r="A23" s="123"/>
      <c r="B23" s="11"/>
      <c r="C23" s="9"/>
      <c r="D23" s="10"/>
      <c r="E23" s="3"/>
      <c r="F23" s="3"/>
      <c r="G23" s="3"/>
    </row>
    <row r="24" spans="1:7" ht="15.75" x14ac:dyDescent="0.25">
      <c r="A24" s="259" t="s">
        <v>317</v>
      </c>
      <c r="B24" s="255">
        <f>VLOOKUP(A5,мкд!W:X,2,FALSE)</f>
        <v>808255.08000000007</v>
      </c>
      <c r="C24" s="9"/>
      <c r="D24" s="10"/>
      <c r="E24" s="3">
        <v>15</v>
      </c>
      <c r="F24" s="3"/>
      <c r="G24" s="3"/>
    </row>
    <row r="25" spans="1:7" ht="15.75" x14ac:dyDescent="0.25">
      <c r="A25" s="124" t="s">
        <v>318</v>
      </c>
      <c r="B25" s="14">
        <f>VLOOKUP(A5,мкд!W:Y,3,FALSE)</f>
        <v>805425.09</v>
      </c>
      <c r="C25" s="9"/>
      <c r="D25" s="10"/>
      <c r="E25" s="3"/>
      <c r="F25" s="3"/>
      <c r="G25" s="3"/>
    </row>
    <row r="26" spans="1:7" ht="15.75" x14ac:dyDescent="0.25">
      <c r="A26" s="124" t="s">
        <v>348</v>
      </c>
      <c r="B26" s="14">
        <v>165510</v>
      </c>
      <c r="C26" s="9"/>
      <c r="D26" s="10"/>
      <c r="E26" s="3"/>
      <c r="F26" s="3"/>
      <c r="G26" s="3"/>
    </row>
    <row r="27" spans="1:7" ht="15.75" x14ac:dyDescent="0.25">
      <c r="A27" s="124" t="s">
        <v>349</v>
      </c>
      <c r="B27" s="14">
        <v>226761.61</v>
      </c>
      <c r="C27" s="9"/>
      <c r="D27" s="10"/>
      <c r="E27" s="3"/>
      <c r="F27" s="3"/>
      <c r="G27" s="3"/>
    </row>
    <row r="28" spans="1:7" ht="15.75" x14ac:dyDescent="0.25">
      <c r="A28" s="124" t="s">
        <v>391</v>
      </c>
      <c r="B28" s="14">
        <v>7154.31</v>
      </c>
      <c r="C28" s="9"/>
      <c r="D28" s="10"/>
      <c r="E28" s="3"/>
      <c r="F28" s="3"/>
      <c r="G28" s="3"/>
    </row>
    <row r="29" spans="1:7" ht="15.75" hidden="1" x14ac:dyDescent="0.25">
      <c r="A29" s="124" t="s">
        <v>421</v>
      </c>
      <c r="B29" s="14"/>
      <c r="C29" s="9"/>
      <c r="D29" s="10"/>
      <c r="E29" s="3"/>
      <c r="F29" s="3"/>
      <c r="G29" s="3"/>
    </row>
    <row r="30" spans="1:7" ht="15.75" x14ac:dyDescent="0.25">
      <c r="A30" s="125"/>
      <c r="B30" s="11"/>
      <c r="C30" s="9"/>
      <c r="D30" s="10"/>
      <c r="E30" s="3"/>
      <c r="F30" s="3"/>
      <c r="G30" s="3"/>
    </row>
    <row r="31" spans="1:7" ht="15.75" x14ac:dyDescent="0.25">
      <c r="A31" s="232" t="s">
        <v>251</v>
      </c>
      <c r="B31" s="11"/>
      <c r="C31" s="9"/>
      <c r="D31" s="10"/>
      <c r="E31" s="3"/>
      <c r="F31" s="3"/>
      <c r="G31" s="3"/>
    </row>
    <row r="32" spans="1:7" s="18" customFormat="1" ht="31.5" x14ac:dyDescent="0.25">
      <c r="A32" s="126" t="s">
        <v>252</v>
      </c>
      <c r="B32" s="121">
        <f>SUM(B33:B41)</f>
        <v>181506.72999999998</v>
      </c>
      <c r="C32" s="9"/>
      <c r="D32" s="10"/>
      <c r="E32" s="17">
        <f>(B86-B24-B26)/1.2/1.03</f>
        <v>371522.8601728442</v>
      </c>
      <c r="F32" s="17" t="e">
        <f>(#REF!-#REF!-#REF!)/1.2/1.03</f>
        <v>#REF!</v>
      </c>
      <c r="G32" s="17" t="e">
        <f>(#REF!-#REF!-#REF!)/1.2/1.03</f>
        <v>#REF!</v>
      </c>
    </row>
    <row r="33" spans="1:7" ht="15.75" x14ac:dyDescent="0.25">
      <c r="A33" s="127" t="s">
        <v>253</v>
      </c>
      <c r="B33" s="11">
        <v>113028.29000000001</v>
      </c>
      <c r="C33" s="9"/>
      <c r="D33" s="10">
        <v>50038.879999999997</v>
      </c>
      <c r="E33" s="3"/>
      <c r="F33" s="3"/>
      <c r="G33" s="3"/>
    </row>
    <row r="34" spans="1:7" ht="15.75" hidden="1" x14ac:dyDescent="0.25">
      <c r="A34" s="127" t="s">
        <v>257</v>
      </c>
      <c r="B34" s="11"/>
      <c r="C34" s="9"/>
      <c r="D34" s="10">
        <v>0</v>
      </c>
      <c r="E34" s="3"/>
      <c r="F34" s="3"/>
      <c r="G34" s="3"/>
    </row>
    <row r="35" spans="1:7" ht="15.75" x14ac:dyDescent="0.25">
      <c r="A35" s="127" t="s">
        <v>256</v>
      </c>
      <c r="B35" s="11">
        <v>22937.239999999998</v>
      </c>
      <c r="C35" s="9"/>
      <c r="D35" s="10">
        <v>0</v>
      </c>
      <c r="E35" s="3"/>
      <c r="F35" s="3"/>
      <c r="G35" s="3"/>
    </row>
    <row r="36" spans="1:7" ht="15.75" x14ac:dyDescent="0.25">
      <c r="A36" s="127" t="s">
        <v>255</v>
      </c>
      <c r="B36" s="11">
        <v>12293.24</v>
      </c>
      <c r="C36" s="9" t="s">
        <v>234</v>
      </c>
      <c r="D36" s="10">
        <v>0</v>
      </c>
      <c r="E36" s="3"/>
      <c r="F36" s="3"/>
      <c r="G36" s="3"/>
    </row>
    <row r="37" spans="1:7" ht="15.75" x14ac:dyDescent="0.25">
      <c r="A37" s="127" t="s">
        <v>546</v>
      </c>
      <c r="B37" s="11">
        <v>33247.96</v>
      </c>
      <c r="C37" s="9"/>
      <c r="D37" s="10">
        <v>0</v>
      </c>
      <c r="E37" s="3"/>
      <c r="F37" s="3"/>
      <c r="G37" s="3"/>
    </row>
    <row r="38" spans="1:7" ht="15.75" hidden="1" x14ac:dyDescent="0.25">
      <c r="A38" s="127" t="s">
        <v>422</v>
      </c>
      <c r="B38" s="11"/>
      <c r="C38" s="9">
        <v>60000</v>
      </c>
      <c r="D38" s="10">
        <v>0</v>
      </c>
      <c r="E38" s="3" t="s">
        <v>423</v>
      </c>
      <c r="F38" s="3"/>
      <c r="G38" s="3"/>
    </row>
    <row r="39" spans="1:7" ht="15.75" hidden="1" x14ac:dyDescent="0.25">
      <c r="A39" s="127" t="s">
        <v>424</v>
      </c>
      <c r="B39" s="11"/>
      <c r="C39" s="9"/>
      <c r="D39" s="10">
        <v>0</v>
      </c>
      <c r="E39" s="3"/>
      <c r="F39" s="3"/>
      <c r="G39" s="3"/>
    </row>
    <row r="40" spans="1:7" ht="15.75" hidden="1" x14ac:dyDescent="0.25">
      <c r="A40" s="127" t="s">
        <v>339</v>
      </c>
      <c r="B40" s="11"/>
      <c r="C40" s="9"/>
      <c r="D40" s="10"/>
      <c r="E40" s="3"/>
      <c r="F40" s="3"/>
      <c r="G40" s="3"/>
    </row>
    <row r="41" spans="1:7" ht="15.75" hidden="1" x14ac:dyDescent="0.25">
      <c r="A41" s="127" t="s">
        <v>335</v>
      </c>
      <c r="B41" s="11"/>
      <c r="C41" s="9"/>
      <c r="D41" s="10"/>
      <c r="E41" s="3"/>
      <c r="F41" s="3"/>
      <c r="G41" s="3"/>
    </row>
    <row r="42" spans="1:7" s="18" customFormat="1" ht="47.25" x14ac:dyDescent="0.25">
      <c r="A42" s="126" t="s">
        <v>393</v>
      </c>
      <c r="B42" s="121">
        <f>SUM(B43:B45)</f>
        <v>275423.9362924553</v>
      </c>
      <c r="C42" s="9"/>
      <c r="D42" s="10"/>
      <c r="E42" s="17"/>
      <c r="F42" s="17"/>
      <c r="G42" s="17"/>
    </row>
    <row r="43" spans="1:7" ht="15.75" x14ac:dyDescent="0.25">
      <c r="A43" s="19" t="s">
        <v>262</v>
      </c>
      <c r="B43" s="11">
        <v>2397.42</v>
      </c>
      <c r="C43" s="23"/>
      <c r="D43" s="24"/>
      <c r="E43" s="3"/>
      <c r="F43" s="3"/>
      <c r="G43" s="3"/>
    </row>
    <row r="44" spans="1:7" ht="15.75" x14ac:dyDescent="0.25">
      <c r="A44" s="19" t="s">
        <v>263</v>
      </c>
      <c r="B44" s="11">
        <v>237607.84</v>
      </c>
      <c r="C44" s="23"/>
      <c r="D44" s="24"/>
      <c r="E44" s="3"/>
      <c r="F44" s="3"/>
      <c r="G44" s="3"/>
    </row>
    <row r="45" spans="1:7" ht="15.75" x14ac:dyDescent="0.25">
      <c r="A45" s="129" t="s">
        <v>264</v>
      </c>
      <c r="B45" s="11">
        <f>('[4]32тарифы'!D163*B15+484.32)*1.12*1.0952</f>
        <v>35418.676292455297</v>
      </c>
      <c r="C45" s="23"/>
      <c r="D45" s="24"/>
      <c r="E45" s="3"/>
      <c r="F45" s="3"/>
      <c r="G45" s="3"/>
    </row>
    <row r="46" spans="1:7" s="4" customFormat="1" ht="15.75" x14ac:dyDescent="0.25">
      <c r="A46" s="126" t="s">
        <v>265</v>
      </c>
      <c r="B46" s="121">
        <f>SUM(B47:B65)</f>
        <v>81145.989999999991</v>
      </c>
      <c r="C46" s="9"/>
      <c r="D46" s="10"/>
    </row>
    <row r="47" spans="1:7" ht="15.75" x14ac:dyDescent="0.25">
      <c r="A47" s="127" t="s">
        <v>324</v>
      </c>
      <c r="B47" s="11">
        <v>6011.52</v>
      </c>
      <c r="C47" s="9"/>
      <c r="D47" s="10"/>
      <c r="E47" s="3" t="s">
        <v>267</v>
      </c>
      <c r="F47" s="3"/>
      <c r="G47" s="3"/>
    </row>
    <row r="48" spans="1:7" ht="15.75" x14ac:dyDescent="0.25">
      <c r="A48" s="127" t="s">
        <v>315</v>
      </c>
      <c r="B48" s="11">
        <v>7299.66</v>
      </c>
      <c r="C48" s="9"/>
      <c r="D48" s="10"/>
      <c r="E48" s="3" t="s">
        <v>269</v>
      </c>
      <c r="F48" s="3"/>
      <c r="G48" s="3"/>
    </row>
    <row r="49" spans="1:5" ht="15.75" hidden="1" x14ac:dyDescent="0.25">
      <c r="A49" s="95" t="s">
        <v>345</v>
      </c>
      <c r="B49" s="11"/>
      <c r="C49" s="9"/>
      <c r="D49" s="10"/>
      <c r="E49" s="3"/>
    </row>
    <row r="50" spans="1:5" ht="15.75" hidden="1" x14ac:dyDescent="0.25">
      <c r="A50" s="131" t="s">
        <v>373</v>
      </c>
      <c r="B50" s="8"/>
      <c r="C50" s="9"/>
      <c r="D50" s="10"/>
      <c r="E50" s="3"/>
    </row>
    <row r="51" spans="1:5" ht="15.75" hidden="1" x14ac:dyDescent="0.25">
      <c r="A51" s="95" t="s">
        <v>314</v>
      </c>
      <c r="B51" s="11"/>
      <c r="C51" s="9"/>
      <c r="D51" s="10"/>
      <c r="E51" s="3"/>
    </row>
    <row r="52" spans="1:5" ht="15.75" x14ac:dyDescent="0.25">
      <c r="A52" s="95" t="s">
        <v>281</v>
      </c>
      <c r="B52" s="11">
        <v>307.58</v>
      </c>
      <c r="C52" s="9"/>
      <c r="D52" s="10">
        <v>105.14</v>
      </c>
      <c r="E52" s="3"/>
    </row>
    <row r="53" spans="1:5" ht="15.75" hidden="1" x14ac:dyDescent="0.25">
      <c r="A53" s="131" t="s">
        <v>342</v>
      </c>
      <c r="B53" s="8"/>
      <c r="C53" s="9">
        <v>0</v>
      </c>
      <c r="D53" s="10">
        <v>522.99</v>
      </c>
      <c r="E53" s="3"/>
    </row>
    <row r="54" spans="1:5" ht="15.75" x14ac:dyDescent="0.25">
      <c r="A54" s="111" t="s">
        <v>275</v>
      </c>
      <c r="B54" s="8">
        <v>8133.61</v>
      </c>
      <c r="C54" s="9">
        <v>1</v>
      </c>
      <c r="D54" s="28">
        <v>695.13</v>
      </c>
      <c r="E54" s="3"/>
    </row>
    <row r="55" spans="1:5" ht="15.75" hidden="1" x14ac:dyDescent="0.25">
      <c r="A55" s="95" t="s">
        <v>407</v>
      </c>
      <c r="B55" s="11"/>
      <c r="C55" s="9"/>
      <c r="D55" s="28"/>
      <c r="E55" s="3"/>
    </row>
    <row r="56" spans="1:5" ht="17.25" customHeight="1" x14ac:dyDescent="0.25">
      <c r="A56" s="95" t="s">
        <v>518</v>
      </c>
      <c r="B56" s="11">
        <v>23131.83</v>
      </c>
      <c r="C56" s="9">
        <v>0</v>
      </c>
      <c r="D56" s="10">
        <f>10695.76/1.18</f>
        <v>9064.203389830509</v>
      </c>
      <c r="E56" s="3"/>
    </row>
    <row r="57" spans="1:5" ht="15.75" x14ac:dyDescent="0.25">
      <c r="A57" s="95" t="s">
        <v>520</v>
      </c>
      <c r="B57" s="11">
        <v>4200</v>
      </c>
      <c r="C57" s="9">
        <v>0</v>
      </c>
      <c r="D57" s="10">
        <f>2300/1.18</f>
        <v>1949.1525423728815</v>
      </c>
      <c r="E57" s="3"/>
    </row>
    <row r="58" spans="1:5" ht="15.75" x14ac:dyDescent="0.25">
      <c r="A58" s="131" t="s">
        <v>282</v>
      </c>
      <c r="B58" s="8">
        <v>32061.79</v>
      </c>
      <c r="C58" s="9">
        <v>0</v>
      </c>
      <c r="D58" s="10">
        <v>0</v>
      </c>
      <c r="E58" s="3"/>
    </row>
    <row r="59" spans="1:5" ht="15.75" x14ac:dyDescent="0.25">
      <c r="A59" s="131" t="s">
        <v>278</v>
      </c>
      <c r="B59" s="8">
        <f>B13*'[4]32тарифы'!D184</f>
        <v>0</v>
      </c>
      <c r="C59" s="9"/>
      <c r="D59" s="10"/>
      <c r="E59" s="130">
        <f>B80+B46-B59+895.84</f>
        <v>103999.37999999999</v>
      </c>
    </row>
    <row r="60" spans="1:5" ht="15.75" hidden="1" x14ac:dyDescent="0.25">
      <c r="A60" s="110" t="s">
        <v>346</v>
      </c>
      <c r="B60" s="8"/>
      <c r="C60" s="9"/>
      <c r="D60" s="10"/>
      <c r="E60" s="3"/>
    </row>
    <row r="61" spans="1:5" ht="15.75" hidden="1" x14ac:dyDescent="0.25">
      <c r="A61" s="110" t="s">
        <v>280</v>
      </c>
      <c r="B61" s="8"/>
      <c r="C61" s="9"/>
      <c r="D61" s="10">
        <v>0</v>
      </c>
      <c r="E61" s="3"/>
    </row>
    <row r="62" spans="1:5" ht="15.75" hidden="1" x14ac:dyDescent="0.25">
      <c r="A62" s="127" t="s">
        <v>347</v>
      </c>
      <c r="B62" s="11"/>
      <c r="C62" s="9"/>
      <c r="D62" s="10">
        <v>0</v>
      </c>
      <c r="E62" s="3"/>
    </row>
    <row r="63" spans="1:5" ht="15.75" hidden="1" x14ac:dyDescent="0.25">
      <c r="A63" s="127" t="s">
        <v>325</v>
      </c>
      <c r="B63" s="132"/>
      <c r="C63" s="30">
        <v>1</v>
      </c>
      <c r="D63" s="10">
        <v>0</v>
      </c>
      <c r="E63" s="3"/>
    </row>
    <row r="64" spans="1:5" ht="15.75" hidden="1" x14ac:dyDescent="0.25">
      <c r="A64" s="19" t="s">
        <v>283</v>
      </c>
      <c r="B64" s="132"/>
      <c r="C64" s="30">
        <v>94</v>
      </c>
      <c r="D64" s="10">
        <v>2</v>
      </c>
      <c r="E64" s="3">
        <v>1</v>
      </c>
    </row>
    <row r="65" spans="1:4" ht="15.75" hidden="1" x14ac:dyDescent="0.25">
      <c r="A65" s="19" t="s">
        <v>284</v>
      </c>
      <c r="B65" s="132"/>
      <c r="C65" s="32"/>
      <c r="D65" s="24">
        <v>0</v>
      </c>
    </row>
    <row r="66" spans="1:4" s="4" customFormat="1" ht="15.75" x14ac:dyDescent="0.25">
      <c r="A66" s="133" t="s">
        <v>285</v>
      </c>
      <c r="B66" s="121">
        <f>SUM(B67:B74)</f>
        <v>312838.77897944744</v>
      </c>
      <c r="C66" s="23"/>
      <c r="D66" s="24"/>
    </row>
    <row r="67" spans="1:4" ht="15.75" hidden="1" x14ac:dyDescent="0.25">
      <c r="A67" s="110" t="s">
        <v>286</v>
      </c>
      <c r="B67" s="8"/>
      <c r="C67" s="23"/>
      <c r="D67" s="24"/>
    </row>
    <row r="68" spans="1:4" ht="15.75" x14ac:dyDescent="0.25">
      <c r="A68" s="127" t="s">
        <v>287</v>
      </c>
      <c r="B68" s="135">
        <v>108953.956832</v>
      </c>
      <c r="C68" s="23">
        <f>99483.16*1.0952</f>
        <v>108953.956832</v>
      </c>
      <c r="D68" s="24"/>
    </row>
    <row r="69" spans="1:4" ht="15.75" hidden="1" x14ac:dyDescent="0.25">
      <c r="A69" s="110" t="s">
        <v>288</v>
      </c>
      <c r="B69" s="8"/>
      <c r="C69" s="23"/>
      <c r="D69" s="24"/>
    </row>
    <row r="70" spans="1:4" ht="15.75" x14ac:dyDescent="0.25">
      <c r="A70" s="129" t="s">
        <v>289</v>
      </c>
      <c r="B70" s="11">
        <f>1.35*B15</f>
        <v>7224.12</v>
      </c>
      <c r="C70" s="23"/>
      <c r="D70" s="24"/>
    </row>
    <row r="71" spans="1:4" ht="15.75" x14ac:dyDescent="0.25">
      <c r="A71" s="129" t="s">
        <v>290</v>
      </c>
      <c r="B71" s="11">
        <f>5.06*B15</f>
        <v>27077.071999999996</v>
      </c>
      <c r="C71" s="23"/>
      <c r="D71" s="24"/>
    </row>
    <row r="72" spans="1:4" ht="15.75" x14ac:dyDescent="0.25">
      <c r="A72" s="129" t="s">
        <v>291</v>
      </c>
      <c r="B72" s="11">
        <f>17.68*B15</f>
        <v>94609.216</v>
      </c>
      <c r="C72" s="23"/>
      <c r="D72" s="24"/>
    </row>
    <row r="73" spans="1:4" ht="15.75" x14ac:dyDescent="0.25">
      <c r="A73" s="129" t="s">
        <v>292</v>
      </c>
      <c r="B73" s="11">
        <f>1.04*9273.83327315732*1.12*1.0952</f>
        <v>11830.526723447456</v>
      </c>
      <c r="C73" s="23"/>
      <c r="D73" s="24"/>
    </row>
    <row r="74" spans="1:4" ht="15.75" x14ac:dyDescent="0.25">
      <c r="A74" s="129" t="s">
        <v>293</v>
      </c>
      <c r="B74" s="11">
        <f>57655.12*1.0952</f>
        <v>63143.887424</v>
      </c>
      <c r="C74" s="23"/>
      <c r="D74" s="24"/>
    </row>
    <row r="75" spans="1:4" ht="63" x14ac:dyDescent="0.25">
      <c r="A75" s="136" t="s">
        <v>294</v>
      </c>
      <c r="B75" s="121">
        <f>SUM(B76:B76)</f>
        <v>115606.63971199999</v>
      </c>
      <c r="C75" s="23"/>
      <c r="D75" s="24"/>
    </row>
    <row r="76" spans="1:4" ht="15.75" x14ac:dyDescent="0.25">
      <c r="A76" s="129" t="s">
        <v>295</v>
      </c>
      <c r="B76" s="11">
        <f>105557.56*1.0952</f>
        <v>115606.63971199999</v>
      </c>
      <c r="C76" s="23"/>
      <c r="D76" s="24"/>
    </row>
    <row r="77" spans="1:4" s="4" customFormat="1" ht="15.75" x14ac:dyDescent="0.25">
      <c r="A77" s="133" t="s">
        <v>296</v>
      </c>
      <c r="B77" s="121">
        <f>SUM(B78:B81)</f>
        <v>192836.61043166</v>
      </c>
      <c r="C77" s="23"/>
      <c r="D77" s="24"/>
    </row>
    <row r="78" spans="1:4" ht="15.75" x14ac:dyDescent="0.25">
      <c r="A78" s="137" t="s">
        <v>297</v>
      </c>
      <c r="B78" s="11">
        <f>109145.42*1.0952</f>
        <v>119536.06398399999</v>
      </c>
      <c r="C78" s="23"/>
      <c r="D78" s="24"/>
    </row>
    <row r="79" spans="1:4" ht="24" customHeight="1" x14ac:dyDescent="0.25">
      <c r="A79" s="137" t="s">
        <v>298</v>
      </c>
      <c r="B79" s="135">
        <f>B26/1.2*30%</f>
        <v>41377.5</v>
      </c>
      <c r="C79" s="23"/>
      <c r="D79" s="24"/>
    </row>
    <row r="80" spans="1:4" ht="15.75" x14ac:dyDescent="0.25">
      <c r="A80" s="138" t="s">
        <v>299</v>
      </c>
      <c r="B80" s="11">
        <f>13087.73+8869.82</f>
        <v>21957.55</v>
      </c>
      <c r="C80" s="23"/>
      <c r="D80" s="24"/>
    </row>
    <row r="81" spans="1:4" ht="15.75" x14ac:dyDescent="0.25">
      <c r="A81" s="138" t="s">
        <v>300</v>
      </c>
      <c r="B81" s="11">
        <f>8814.39*1.1194*1.01</f>
        <v>9965.4964476599998</v>
      </c>
      <c r="C81" s="23"/>
      <c r="D81" s="24"/>
    </row>
    <row r="82" spans="1:4" ht="15.75" x14ac:dyDescent="0.25">
      <c r="A82" s="233" t="s">
        <v>301</v>
      </c>
      <c r="B82" s="14">
        <f>B32+B42+B46+B66+B75+B77</f>
        <v>1159358.6854155627</v>
      </c>
      <c r="C82" s="23"/>
      <c r="D82" s="24"/>
    </row>
    <row r="83" spans="1:4" ht="15.75" x14ac:dyDescent="0.25">
      <c r="A83" s="139" t="s">
        <v>302</v>
      </c>
      <c r="B83" s="11">
        <f>B82*0.03</f>
        <v>34780.760562466879</v>
      </c>
      <c r="C83" s="23"/>
      <c r="D83" s="24"/>
    </row>
    <row r="84" spans="1:4" s="18" customFormat="1" ht="15.75" x14ac:dyDescent="0.25">
      <c r="A84" s="140" t="s">
        <v>303</v>
      </c>
      <c r="B84" s="121">
        <f>B82+B83</f>
        <v>1194139.4459780296</v>
      </c>
      <c r="C84" s="23"/>
      <c r="D84" s="24"/>
    </row>
    <row r="85" spans="1:4" ht="16.5" thickBot="1" x14ac:dyDescent="0.3">
      <c r="A85" s="141" t="s">
        <v>304</v>
      </c>
      <c r="B85" s="142">
        <f>B84*0.2</f>
        <v>238827.88919560594</v>
      </c>
      <c r="C85" s="23"/>
      <c r="D85" s="24"/>
    </row>
    <row r="86" spans="1:4" s="4" customFormat="1" ht="16.5" thickBot="1" x14ac:dyDescent="0.3">
      <c r="A86" s="38" t="s">
        <v>305</v>
      </c>
      <c r="B86" s="46">
        <f>B84+B85</f>
        <v>1432967.3351736355</v>
      </c>
      <c r="C86" s="40"/>
      <c r="D86" s="41"/>
    </row>
    <row r="87" spans="1:4" s="4" customFormat="1" ht="16.5" thickBot="1" x14ac:dyDescent="0.3">
      <c r="A87" s="42" t="s">
        <v>306</v>
      </c>
      <c r="B87" s="46">
        <f>B10+B24+B26+B28+B29-B86</f>
        <v>-1229013.5551736355</v>
      </c>
      <c r="C87" s="43"/>
      <c r="D87" s="43"/>
    </row>
    <row r="88" spans="1:4" s="4" customFormat="1" ht="16.5" hidden="1" thickBot="1" x14ac:dyDescent="0.3">
      <c r="A88" s="44" t="s">
        <v>307</v>
      </c>
      <c r="B88" s="46"/>
      <c r="C88" s="43"/>
      <c r="D88" s="43"/>
    </row>
    <row r="89" spans="1:4" s="4" customFormat="1" ht="16.5" hidden="1" thickBot="1" x14ac:dyDescent="0.3">
      <c r="A89" s="143" t="s">
        <v>308</v>
      </c>
      <c r="B89" s="46"/>
      <c r="C89" s="43"/>
      <c r="D89" s="43"/>
    </row>
    <row r="90" spans="1:4" ht="15.75" x14ac:dyDescent="0.25">
      <c r="A90" s="3"/>
      <c r="B90" s="130"/>
      <c r="C90" s="3"/>
      <c r="D90" s="3"/>
    </row>
    <row r="91" spans="1:4" ht="15.75" x14ac:dyDescent="0.25">
      <c r="A91" s="49"/>
      <c r="B91" s="3"/>
      <c r="C91" s="3"/>
      <c r="D91" s="3"/>
    </row>
    <row r="92" spans="1:4" ht="15.75" x14ac:dyDescent="0.25">
      <c r="A92" s="286" t="s">
        <v>542</v>
      </c>
      <c r="B92" s="286"/>
      <c r="C92" s="3"/>
      <c r="D92" s="3"/>
    </row>
    <row r="93" spans="1:4" ht="15.75" x14ac:dyDescent="0.25">
      <c r="A93" s="49"/>
      <c r="B93" s="3"/>
      <c r="C93" s="3"/>
      <c r="D93" s="3"/>
    </row>
    <row r="94" spans="1:4" ht="15.75" hidden="1" x14ac:dyDescent="0.25">
      <c r="A94" s="292" t="s">
        <v>399</v>
      </c>
      <c r="B94" s="292"/>
      <c r="C94" s="51"/>
      <c r="D94" s="3"/>
    </row>
    <row r="95" spans="1:4" ht="15.75" x14ac:dyDescent="0.25">
      <c r="A95" s="3"/>
      <c r="B95" s="3"/>
      <c r="C95" s="3"/>
      <c r="D95" s="3"/>
    </row>
  </sheetData>
  <autoFilter ref="A32:G89" xr:uid="{00000000-0009-0000-0000-000039000000}">
    <filterColumn colId="1">
      <customFilters>
        <customFilter operator="notEqual" val=" "/>
      </custom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7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filterMode="1">
    <pageSetUpPr fitToPage="1"/>
  </sheetPr>
  <dimension ref="A1:G95"/>
  <sheetViews>
    <sheetView view="pageBreakPreview" topLeftCell="A54" zoomScale="75" zoomScaleNormal="100" zoomScaleSheetLayoutView="75" workbookViewId="0">
      <selection activeCell="A24" sqref="A24:B24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4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124</v>
      </c>
      <c r="B5" s="184"/>
      <c r="C5" s="3"/>
      <c r="D5" s="3"/>
    </row>
    <row r="6" spans="1:4" ht="5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3.5" thickBot="1" x14ac:dyDescent="0.25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-544290.42000000004</v>
      </c>
      <c r="C10" s="226"/>
      <c r="D10" s="226"/>
    </row>
    <row r="11" spans="1:4" s="227" customFormat="1" ht="16.5" hidden="1" thickBot="1" x14ac:dyDescent="0.3">
      <c r="A11" s="228" t="s">
        <v>232</v>
      </c>
      <c r="B11" s="229"/>
      <c r="C11" s="230"/>
      <c r="D11" s="230"/>
    </row>
    <row r="12" spans="1:4" ht="15.75" x14ac:dyDescent="0.25">
      <c r="A12" s="231" t="s">
        <v>233</v>
      </c>
      <c r="B12" s="210"/>
      <c r="C12" s="5" t="s">
        <v>234</v>
      </c>
      <c r="D12" s="6" t="s">
        <v>234</v>
      </c>
    </row>
    <row r="13" spans="1:4" ht="15.75" hidden="1" x14ac:dyDescent="0.25">
      <c r="A13" s="107" t="s">
        <v>235</v>
      </c>
      <c r="B13" s="8">
        <v>5540.8</v>
      </c>
      <c r="C13" s="9" t="s">
        <v>234</v>
      </c>
      <c r="D13" s="10" t="s">
        <v>234</v>
      </c>
    </row>
    <row r="14" spans="1:4" ht="15.75" hidden="1" x14ac:dyDescent="0.25">
      <c r="A14" s="107" t="s">
        <v>236</v>
      </c>
      <c r="B14" s="8">
        <v>2833.9</v>
      </c>
      <c r="C14" s="9"/>
      <c r="D14" s="10"/>
    </row>
    <row r="15" spans="1:4" ht="15.75" hidden="1" x14ac:dyDescent="0.25">
      <c r="A15" s="123" t="s">
        <v>237</v>
      </c>
      <c r="B15" s="11">
        <f>B13+B14</f>
        <v>8374.7000000000007</v>
      </c>
      <c r="C15" s="9"/>
      <c r="D15" s="10"/>
    </row>
    <row r="16" spans="1:4" ht="15.75" hidden="1" x14ac:dyDescent="0.25">
      <c r="A16" s="123" t="s">
        <v>238</v>
      </c>
      <c r="B16" s="11">
        <f>2718.8+846.3/3</f>
        <v>3000.9</v>
      </c>
      <c r="C16" s="9" t="s">
        <v>234</v>
      </c>
      <c r="D16" s="10" t="s">
        <v>234</v>
      </c>
    </row>
    <row r="17" spans="1:7" ht="15.75" hidden="1" x14ac:dyDescent="0.25">
      <c r="A17" s="107" t="s">
        <v>239</v>
      </c>
      <c r="B17" s="8">
        <v>0</v>
      </c>
      <c r="C17" s="9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107" t="s">
        <v>240</v>
      </c>
      <c r="B18" s="8">
        <v>1901</v>
      </c>
      <c r="C18" s="9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107" t="s">
        <v>241</v>
      </c>
      <c r="B19" s="8">
        <v>0</v>
      </c>
      <c r="C19" s="9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107" t="s">
        <v>242</v>
      </c>
      <c r="B20" s="8">
        <v>1986.3</v>
      </c>
      <c r="C20" s="9"/>
      <c r="D20" s="10"/>
      <c r="E20" s="3"/>
      <c r="F20" s="3"/>
      <c r="G20" s="3"/>
    </row>
    <row r="21" spans="1:7" ht="15.75" hidden="1" x14ac:dyDescent="0.25">
      <c r="A21" s="107" t="s">
        <v>243</v>
      </c>
      <c r="B21" s="8">
        <v>0</v>
      </c>
      <c r="C21" s="9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107" t="s">
        <v>244</v>
      </c>
      <c r="B22" s="8">
        <v>288</v>
      </c>
      <c r="C22" s="9"/>
      <c r="D22" s="10"/>
      <c r="E22" s="3"/>
      <c r="F22" s="3"/>
      <c r="G22" s="3"/>
    </row>
    <row r="23" spans="1:7" ht="15.75" x14ac:dyDescent="0.25">
      <c r="A23" s="123"/>
      <c r="B23" s="11"/>
      <c r="C23" s="9"/>
      <c r="D23" s="10"/>
      <c r="E23" s="3">
        <v>10</v>
      </c>
      <c r="F23" s="3">
        <v>2</v>
      </c>
      <c r="G23" s="3"/>
    </row>
    <row r="24" spans="1:7" ht="15.75" x14ac:dyDescent="0.25">
      <c r="A24" s="259" t="s">
        <v>317</v>
      </c>
      <c r="B24" s="255">
        <f>VLOOKUP(A5,мкд!W:X,2,FALSE)</f>
        <v>1165338.02</v>
      </c>
      <c r="C24" s="9"/>
      <c r="D24" s="10"/>
      <c r="E24" s="3">
        <v>15.4800000124</v>
      </c>
      <c r="F24" s="3">
        <v>17.328312013880559</v>
      </c>
      <c r="G24" s="3"/>
    </row>
    <row r="25" spans="1:7" ht="15.75" x14ac:dyDescent="0.25">
      <c r="A25" s="124" t="s">
        <v>318</v>
      </c>
      <c r="B25" s="14">
        <f>VLOOKUP(A5,мкд!W:Y,3,FALSE)</f>
        <v>1132790.43</v>
      </c>
      <c r="C25" s="9"/>
      <c r="D25" s="10"/>
      <c r="E25" s="3"/>
      <c r="F25" s="3"/>
      <c r="G25" s="3"/>
    </row>
    <row r="26" spans="1:7" ht="15.75" x14ac:dyDescent="0.25">
      <c r="A26" s="124" t="s">
        <v>348</v>
      </c>
      <c r="B26" s="14">
        <v>566230.5</v>
      </c>
      <c r="C26" s="9"/>
      <c r="D26" s="10"/>
      <c r="E26" s="3"/>
      <c r="F26" s="3"/>
      <c r="G26" s="3"/>
    </row>
    <row r="27" spans="1:7" ht="15.75" x14ac:dyDescent="0.25">
      <c r="A27" s="124" t="s">
        <v>349</v>
      </c>
      <c r="B27" s="14">
        <v>539998.5</v>
      </c>
      <c r="C27" s="9"/>
      <c r="D27" s="10"/>
      <c r="E27" s="3"/>
      <c r="F27" s="3"/>
      <c r="G27" s="3"/>
    </row>
    <row r="28" spans="1:7" ht="15.75" x14ac:dyDescent="0.25">
      <c r="A28" s="124" t="s">
        <v>391</v>
      </c>
      <c r="B28" s="14">
        <v>8832.39</v>
      </c>
      <c r="C28" s="9"/>
      <c r="D28" s="10"/>
      <c r="E28" s="3"/>
      <c r="F28" s="3"/>
      <c r="G28" s="3"/>
    </row>
    <row r="29" spans="1:7" ht="15.75" hidden="1" x14ac:dyDescent="0.25">
      <c r="A29" s="124" t="s">
        <v>367</v>
      </c>
      <c r="B29" s="14"/>
      <c r="C29" s="9"/>
      <c r="D29" s="10"/>
      <c r="E29" s="3"/>
      <c r="F29" s="3"/>
      <c r="G29" s="3"/>
    </row>
    <row r="30" spans="1:7" ht="15.75" x14ac:dyDescent="0.25">
      <c r="A30" s="125"/>
      <c r="B30" s="11"/>
      <c r="C30" s="9"/>
      <c r="D30" s="10"/>
      <c r="E30" s="3"/>
      <c r="F30" s="3"/>
      <c r="G30" s="3"/>
    </row>
    <row r="31" spans="1:7" ht="15.75" x14ac:dyDescent="0.25">
      <c r="A31" s="232" t="s">
        <v>251</v>
      </c>
      <c r="B31" s="11" t="s">
        <v>398</v>
      </c>
      <c r="C31" s="9"/>
      <c r="D31" s="10"/>
      <c r="E31" s="3"/>
      <c r="F31" s="3"/>
      <c r="G31" s="3"/>
    </row>
    <row r="32" spans="1:7" s="18" customFormat="1" ht="31.5" x14ac:dyDescent="0.25">
      <c r="A32" s="126" t="s">
        <v>252</v>
      </c>
      <c r="B32" s="121">
        <f>SUM(B33:B41)</f>
        <v>342495.35000000003</v>
      </c>
      <c r="C32" s="9"/>
      <c r="D32" s="10"/>
      <c r="E32" s="17">
        <f>(B86-B24-B26)/1.2/1.03</f>
        <v>126296.13134994671</v>
      </c>
      <c r="F32" s="17" t="e">
        <f>(#REF!-#REF!-#REF!)/1.2/1.03</f>
        <v>#REF!</v>
      </c>
      <c r="G32" s="17" t="e">
        <f>(#REF!-#REF!-#REF!)/1.2/1.03</f>
        <v>#REF!</v>
      </c>
    </row>
    <row r="33" spans="1:7" ht="15.75" x14ac:dyDescent="0.25">
      <c r="A33" s="127" t="s">
        <v>253</v>
      </c>
      <c r="B33" s="11">
        <v>135453.83000000002</v>
      </c>
      <c r="C33" s="9"/>
      <c r="D33" s="10">
        <v>60037.19</v>
      </c>
      <c r="E33" s="3"/>
      <c r="F33" s="3"/>
      <c r="G33" s="3"/>
    </row>
    <row r="34" spans="1:7" ht="15.75" hidden="1" x14ac:dyDescent="0.25">
      <c r="A34" s="128" t="s">
        <v>339</v>
      </c>
      <c r="B34" s="8"/>
      <c r="C34" s="9"/>
      <c r="D34" s="10">
        <v>0</v>
      </c>
      <c r="E34" s="3"/>
      <c r="F34" s="3"/>
      <c r="G34" s="3"/>
    </row>
    <row r="35" spans="1:7" ht="15.75" x14ac:dyDescent="0.25">
      <c r="A35" s="128" t="s">
        <v>256</v>
      </c>
      <c r="B35" s="8">
        <v>148842.16</v>
      </c>
      <c r="C35" s="9"/>
      <c r="D35" s="10">
        <v>0</v>
      </c>
      <c r="E35" s="3"/>
      <c r="F35" s="3"/>
      <c r="G35" s="3"/>
    </row>
    <row r="36" spans="1:7" ht="15.75" x14ac:dyDescent="0.25">
      <c r="A36" s="127" t="s">
        <v>255</v>
      </c>
      <c r="B36" s="11">
        <v>27095.9</v>
      </c>
      <c r="C36" s="9" t="s">
        <v>234</v>
      </c>
      <c r="D36" s="10">
        <v>0</v>
      </c>
      <c r="E36" s="3"/>
      <c r="F36" s="3"/>
      <c r="G36" s="3"/>
    </row>
    <row r="37" spans="1:7" ht="15.75" hidden="1" x14ac:dyDescent="0.25">
      <c r="A37" s="127" t="s">
        <v>257</v>
      </c>
      <c r="B37" s="11"/>
      <c r="C37" s="9"/>
      <c r="D37" s="10">
        <v>0</v>
      </c>
      <c r="E37" s="3"/>
      <c r="F37" s="3"/>
      <c r="G37" s="3"/>
    </row>
    <row r="38" spans="1:7" ht="15.75" x14ac:dyDescent="0.25">
      <c r="A38" s="127" t="s">
        <v>546</v>
      </c>
      <c r="B38" s="11">
        <v>31103.46</v>
      </c>
      <c r="C38" s="9"/>
      <c r="D38" s="10">
        <v>0</v>
      </c>
      <c r="E38" s="3"/>
      <c r="F38" s="3"/>
      <c r="G38" s="3"/>
    </row>
    <row r="39" spans="1:7" ht="15.75" hidden="1" x14ac:dyDescent="0.25">
      <c r="A39" s="110" t="s">
        <v>259</v>
      </c>
      <c r="B39" s="8"/>
      <c r="C39" s="9"/>
      <c r="D39" s="10">
        <v>0</v>
      </c>
      <c r="E39" s="3"/>
      <c r="F39" s="3"/>
      <c r="G39" s="3"/>
    </row>
    <row r="40" spans="1:7" ht="15.75" hidden="1" x14ac:dyDescent="0.25">
      <c r="A40" s="19" t="s">
        <v>416</v>
      </c>
      <c r="B40" s="11"/>
      <c r="C40" s="9"/>
      <c r="D40" s="10"/>
      <c r="E40" s="3"/>
      <c r="F40" s="3"/>
      <c r="G40" s="3"/>
    </row>
    <row r="41" spans="1:7" ht="15.75" hidden="1" x14ac:dyDescent="0.25">
      <c r="A41" s="19" t="s">
        <v>339</v>
      </c>
      <c r="B41" s="11"/>
      <c r="C41" s="9"/>
      <c r="D41" s="10"/>
      <c r="E41" s="3"/>
      <c r="F41" s="3"/>
      <c r="G41" s="3"/>
    </row>
    <row r="42" spans="1:7" s="18" customFormat="1" ht="47.25" x14ac:dyDescent="0.25">
      <c r="A42" s="126" t="s">
        <v>393</v>
      </c>
      <c r="B42" s="121">
        <f>SUM(B43:B45)</f>
        <v>156855.15464000002</v>
      </c>
      <c r="C42" s="9"/>
      <c r="D42" s="10"/>
      <c r="E42" s="17"/>
      <c r="F42" s="17"/>
      <c r="G42" s="17"/>
    </row>
    <row r="43" spans="1:7" ht="15.75" hidden="1" x14ac:dyDescent="0.25">
      <c r="A43" s="19" t="s">
        <v>262</v>
      </c>
      <c r="B43" s="11"/>
      <c r="C43" s="23"/>
      <c r="D43" s="24"/>
      <c r="E43" s="3"/>
      <c r="F43" s="3"/>
      <c r="G43" s="3"/>
    </row>
    <row r="44" spans="1:7" ht="15.75" x14ac:dyDescent="0.25">
      <c r="A44" s="19" t="s">
        <v>263</v>
      </c>
      <c r="B44" s="11">
        <v>90482.53</v>
      </c>
      <c r="C44" s="23"/>
      <c r="D44" s="24"/>
      <c r="E44" s="3"/>
      <c r="F44" s="3"/>
      <c r="G44" s="3"/>
    </row>
    <row r="45" spans="1:7" ht="15.75" x14ac:dyDescent="0.25">
      <c r="A45" s="129" t="s">
        <v>264</v>
      </c>
      <c r="B45" s="11">
        <f>54110*1.12*1.0952</f>
        <v>66372.624640000009</v>
      </c>
      <c r="C45" s="23"/>
      <c r="D45" s="24"/>
      <c r="E45" s="3"/>
      <c r="F45" s="3"/>
      <c r="G45" s="3"/>
    </row>
    <row r="46" spans="1:7" s="4" customFormat="1" ht="15.75" x14ac:dyDescent="0.25">
      <c r="A46" s="126" t="s">
        <v>265</v>
      </c>
      <c r="B46" s="121">
        <f>SUM(B47:B65)</f>
        <v>90084.17</v>
      </c>
      <c r="C46" s="9"/>
      <c r="D46" s="10"/>
    </row>
    <row r="47" spans="1:7" ht="15.75" x14ac:dyDescent="0.25">
      <c r="A47" s="127" t="s">
        <v>324</v>
      </c>
      <c r="B47" s="132">
        <v>4182.2</v>
      </c>
      <c r="C47" s="9"/>
      <c r="D47" s="10"/>
      <c r="E47" s="3" t="s">
        <v>267</v>
      </c>
      <c r="F47" s="3"/>
      <c r="G47" s="3"/>
    </row>
    <row r="48" spans="1:7" ht="15.75" x14ac:dyDescent="0.25">
      <c r="A48" s="127" t="s">
        <v>315</v>
      </c>
      <c r="B48" s="132">
        <v>12343.02</v>
      </c>
      <c r="C48" s="9"/>
      <c r="D48" s="10"/>
      <c r="E48" s="3" t="s">
        <v>269</v>
      </c>
      <c r="F48" s="3"/>
      <c r="G48" s="3"/>
    </row>
    <row r="49" spans="1:5" ht="15.75" hidden="1" x14ac:dyDescent="0.25">
      <c r="A49" s="95" t="s">
        <v>417</v>
      </c>
      <c r="B49" s="11"/>
      <c r="C49" s="9"/>
      <c r="D49" s="10"/>
      <c r="E49" s="3"/>
    </row>
    <row r="50" spans="1:5" ht="15.75" hidden="1" x14ac:dyDescent="0.25">
      <c r="A50" s="131" t="s">
        <v>344</v>
      </c>
      <c r="B50" s="8"/>
      <c r="C50" s="9"/>
      <c r="D50" s="10"/>
      <c r="E50" s="3"/>
    </row>
    <row r="51" spans="1:5" ht="15.75" x14ac:dyDescent="0.25">
      <c r="A51" s="95" t="s">
        <v>520</v>
      </c>
      <c r="B51" s="11">
        <v>8400</v>
      </c>
      <c r="C51" s="9"/>
      <c r="D51" s="10"/>
      <c r="E51" s="3"/>
    </row>
    <row r="52" spans="1:5" ht="15.75" hidden="1" x14ac:dyDescent="0.25">
      <c r="A52" s="95" t="s">
        <v>403</v>
      </c>
      <c r="B52" s="11"/>
      <c r="C52" s="9"/>
      <c r="D52" s="10">
        <v>105.14</v>
      </c>
      <c r="E52" s="3"/>
    </row>
    <row r="53" spans="1:5" ht="15.75" hidden="1" x14ac:dyDescent="0.25">
      <c r="A53" s="131" t="s">
        <v>274</v>
      </c>
      <c r="B53" s="8"/>
      <c r="C53" s="9">
        <v>0</v>
      </c>
      <c r="D53" s="10">
        <v>522.99</v>
      </c>
      <c r="E53" s="3"/>
    </row>
    <row r="54" spans="1:5" ht="15.75" x14ac:dyDescent="0.25">
      <c r="A54" s="111" t="s">
        <v>275</v>
      </c>
      <c r="B54" s="8">
        <v>12200</v>
      </c>
      <c r="C54" s="9">
        <v>2</v>
      </c>
      <c r="D54" s="28">
        <v>695.13</v>
      </c>
      <c r="E54" s="3"/>
    </row>
    <row r="55" spans="1:5" ht="15.75" hidden="1" x14ac:dyDescent="0.25">
      <c r="A55" s="95" t="s">
        <v>418</v>
      </c>
      <c r="B55" s="11"/>
      <c r="C55" s="9"/>
      <c r="D55" s="28"/>
      <c r="E55" s="3"/>
    </row>
    <row r="56" spans="1:5" ht="15.75" hidden="1" x14ac:dyDescent="0.25">
      <c r="A56" s="95" t="s">
        <v>277</v>
      </c>
      <c r="B56" s="11"/>
      <c r="C56" s="9">
        <v>0</v>
      </c>
      <c r="D56" s="10">
        <f>10695.76/1.18</f>
        <v>9064.203389830509</v>
      </c>
      <c r="E56" s="3"/>
    </row>
    <row r="57" spans="1:5" ht="15.75" hidden="1" x14ac:dyDescent="0.25">
      <c r="A57" s="95" t="s">
        <v>412</v>
      </c>
      <c r="B57" s="11"/>
      <c r="C57" s="9">
        <v>0</v>
      </c>
      <c r="D57" s="10">
        <f>2300/1.18</f>
        <v>1949.1525423728815</v>
      </c>
      <c r="E57" s="3"/>
    </row>
    <row r="58" spans="1:5" ht="15.75" x14ac:dyDescent="0.25">
      <c r="A58" s="131" t="s">
        <v>281</v>
      </c>
      <c r="B58" s="8">
        <v>309.63</v>
      </c>
      <c r="C58" s="9">
        <v>0</v>
      </c>
      <c r="D58" s="10">
        <v>0</v>
      </c>
      <c r="E58" s="3"/>
    </row>
    <row r="59" spans="1:5" ht="15.75" hidden="1" x14ac:dyDescent="0.25">
      <c r="A59" s="131" t="s">
        <v>278</v>
      </c>
      <c r="B59" s="8">
        <f>B13*'[4]32тарифы'!D184</f>
        <v>0</v>
      </c>
      <c r="C59" s="9"/>
      <c r="D59" s="10"/>
      <c r="E59" s="130">
        <f>B80+B46-B59+381.89</f>
        <v>120834</v>
      </c>
    </row>
    <row r="60" spans="1:5" ht="15.75" hidden="1" x14ac:dyDescent="0.25">
      <c r="A60" s="110" t="s">
        <v>419</v>
      </c>
      <c r="B60" s="8">
        <v>0</v>
      </c>
      <c r="C60" s="9"/>
      <c r="D60" s="10"/>
      <c r="E60" s="3"/>
    </row>
    <row r="61" spans="1:5" ht="15.75" hidden="1" x14ac:dyDescent="0.25">
      <c r="A61" s="110" t="s">
        <v>280</v>
      </c>
      <c r="B61" s="8"/>
      <c r="C61" s="9"/>
      <c r="D61" s="10">
        <v>0</v>
      </c>
      <c r="E61" s="3"/>
    </row>
    <row r="62" spans="1:5" ht="15.75" hidden="1" x14ac:dyDescent="0.25">
      <c r="A62" s="127" t="s">
        <v>420</v>
      </c>
      <c r="B62" s="11"/>
      <c r="C62" s="9"/>
      <c r="D62" s="10">
        <v>0</v>
      </c>
      <c r="E62" s="3"/>
    </row>
    <row r="63" spans="1:5" ht="15.75" x14ac:dyDescent="0.25">
      <c r="A63" s="127" t="s">
        <v>325</v>
      </c>
      <c r="B63" s="132">
        <v>52649.32</v>
      </c>
      <c r="C63" s="30">
        <v>1</v>
      </c>
      <c r="D63" s="10">
        <v>0</v>
      </c>
      <c r="E63" s="3"/>
    </row>
    <row r="64" spans="1:5" ht="15.75" hidden="1" x14ac:dyDescent="0.25">
      <c r="A64" s="19" t="s">
        <v>283</v>
      </c>
      <c r="B64" s="132"/>
      <c r="C64" s="30">
        <v>112</v>
      </c>
      <c r="D64" s="10">
        <v>2</v>
      </c>
      <c r="E64" s="3">
        <v>1</v>
      </c>
    </row>
    <row r="65" spans="1:4" ht="15.75" hidden="1" x14ac:dyDescent="0.25">
      <c r="A65" s="19" t="s">
        <v>284</v>
      </c>
      <c r="B65" s="132"/>
      <c r="C65" s="32"/>
      <c r="D65" s="24">
        <v>0</v>
      </c>
    </row>
    <row r="66" spans="1:4" s="4" customFormat="1" ht="15.75" x14ac:dyDescent="0.25">
      <c r="A66" s="133" t="s">
        <v>285</v>
      </c>
      <c r="B66" s="121">
        <f>SUM(B67:B74)</f>
        <v>484514.63391199993</v>
      </c>
      <c r="C66" s="23"/>
      <c r="D66" s="24"/>
    </row>
    <row r="67" spans="1:4" ht="15.75" hidden="1" x14ac:dyDescent="0.25">
      <c r="A67" s="110" t="s">
        <v>286</v>
      </c>
      <c r="B67" s="8"/>
      <c r="C67" s="23"/>
      <c r="D67" s="24"/>
    </row>
    <row r="68" spans="1:4" ht="15.75" x14ac:dyDescent="0.25">
      <c r="A68" s="127" t="s">
        <v>287</v>
      </c>
      <c r="B68" s="135">
        <f>103538.05*1.0952</f>
        <v>113394.87235999999</v>
      </c>
      <c r="C68" s="23"/>
      <c r="D68" s="24"/>
    </row>
    <row r="69" spans="1:4" ht="15.75" hidden="1" x14ac:dyDescent="0.25">
      <c r="A69" s="110" t="s">
        <v>288</v>
      </c>
      <c r="B69" s="8"/>
      <c r="C69" s="23"/>
      <c r="D69" s="24"/>
    </row>
    <row r="70" spans="1:4" ht="15.75" x14ac:dyDescent="0.25">
      <c r="A70" s="129" t="s">
        <v>289</v>
      </c>
      <c r="B70" s="11">
        <f>1.35*B15</f>
        <v>11305.845000000001</v>
      </c>
      <c r="C70" s="23"/>
      <c r="D70" s="24"/>
    </row>
    <row r="71" spans="1:4" ht="15.75" x14ac:dyDescent="0.25">
      <c r="A71" s="129" t="s">
        <v>290</v>
      </c>
      <c r="B71" s="11">
        <f>5.06*B15</f>
        <v>42375.982000000004</v>
      </c>
      <c r="C71" s="23"/>
      <c r="D71" s="24"/>
    </row>
    <row r="72" spans="1:4" ht="15.75" x14ac:dyDescent="0.25">
      <c r="A72" s="129" t="s">
        <v>291</v>
      </c>
      <c r="B72" s="11">
        <f>17.68*B15</f>
        <v>148064.696</v>
      </c>
      <c r="C72" s="23"/>
      <c r="D72" s="24"/>
    </row>
    <row r="73" spans="1:4" ht="15.75" x14ac:dyDescent="0.25">
      <c r="A73" s="129" t="s">
        <v>292</v>
      </c>
      <c r="B73" s="11">
        <f>11905.33*1.0952</f>
        <v>13038.717416</v>
      </c>
      <c r="C73" s="23"/>
      <c r="D73" s="24"/>
    </row>
    <row r="74" spans="1:4" ht="15.75" x14ac:dyDescent="0.25">
      <c r="A74" s="129" t="s">
        <v>293</v>
      </c>
      <c r="B74" s="11">
        <f>142745.18*1.0952</f>
        <v>156334.521136</v>
      </c>
      <c r="C74" s="23"/>
      <c r="D74" s="24"/>
    </row>
    <row r="75" spans="1:4" ht="63" x14ac:dyDescent="0.25">
      <c r="A75" s="136" t="s">
        <v>294</v>
      </c>
      <c r="B75" s="121">
        <f>SUM(B76:B76)</f>
        <v>135161.764272</v>
      </c>
      <c r="C75" s="23"/>
      <c r="D75" s="24"/>
    </row>
    <row r="76" spans="1:4" ht="15.75" x14ac:dyDescent="0.25">
      <c r="A76" s="129" t="s">
        <v>295</v>
      </c>
      <c r="B76" s="11">
        <f>123412.86*1.0952</f>
        <v>135161.764272</v>
      </c>
      <c r="C76" s="23"/>
      <c r="D76" s="24"/>
    </row>
    <row r="77" spans="1:4" s="4" customFormat="1" ht="15.75" x14ac:dyDescent="0.25">
      <c r="A77" s="133" t="s">
        <v>296</v>
      </c>
      <c r="B77" s="121">
        <f>SUM(B78:B81)</f>
        <v>318130.46305669117</v>
      </c>
      <c r="C77" s="23"/>
      <c r="D77" s="24"/>
    </row>
    <row r="78" spans="1:4" ht="15.75" x14ac:dyDescent="0.25">
      <c r="A78" s="137" t="s">
        <v>297</v>
      </c>
      <c r="B78" s="11">
        <f>122263.8*1.0952</f>
        <v>133903.31375999999</v>
      </c>
      <c r="C78" s="23"/>
      <c r="D78" s="24"/>
    </row>
    <row r="79" spans="1:4" ht="15" customHeight="1" x14ac:dyDescent="0.25">
      <c r="A79" s="137" t="s">
        <v>298</v>
      </c>
      <c r="B79" s="135">
        <f>B26/1.2*30%</f>
        <v>141557.625</v>
      </c>
      <c r="C79" s="23"/>
      <c r="D79" s="24"/>
    </row>
    <row r="80" spans="1:4" ht="15.75" x14ac:dyDescent="0.25">
      <c r="A80" s="138" t="s">
        <v>299</v>
      </c>
      <c r="B80" s="11">
        <f>14505.43+15862.51</f>
        <v>30367.940000000002</v>
      </c>
      <c r="C80" s="23"/>
      <c r="D80" s="24"/>
    </row>
    <row r="81" spans="1:4" ht="15.75" x14ac:dyDescent="0.25">
      <c r="A81" s="138" t="s">
        <v>300</v>
      </c>
      <c r="B81" s="11">
        <f>12179.7864323675*1.01</f>
        <v>12301.584296691175</v>
      </c>
      <c r="C81" s="23"/>
      <c r="D81" s="24"/>
    </row>
    <row r="82" spans="1:4" ht="15.75" x14ac:dyDescent="0.25">
      <c r="A82" s="233" t="s">
        <v>301</v>
      </c>
      <c r="B82" s="14">
        <f>B32+B42+B46+B66+B75+B77</f>
        <v>1527241.5358806911</v>
      </c>
      <c r="C82" s="23"/>
      <c r="D82" s="24"/>
    </row>
    <row r="83" spans="1:4" ht="15.75" x14ac:dyDescent="0.25">
      <c r="A83" s="139" t="s">
        <v>302</v>
      </c>
      <c r="B83" s="11">
        <f>B82*0.03</f>
        <v>45817.246076420735</v>
      </c>
      <c r="C83" s="23"/>
      <c r="D83" s="24"/>
    </row>
    <row r="84" spans="1:4" s="18" customFormat="1" ht="15.75" x14ac:dyDescent="0.25">
      <c r="A84" s="140" t="s">
        <v>303</v>
      </c>
      <c r="B84" s="121">
        <f>B82+B83</f>
        <v>1573058.7819571118</v>
      </c>
      <c r="C84" s="23"/>
      <c r="D84" s="24"/>
    </row>
    <row r="85" spans="1:4" ht="16.5" thickBot="1" x14ac:dyDescent="0.3">
      <c r="A85" s="141" t="s">
        <v>304</v>
      </c>
      <c r="B85" s="142">
        <f>B84*0.2</f>
        <v>314611.75639142236</v>
      </c>
      <c r="C85" s="23"/>
      <c r="D85" s="24"/>
    </row>
    <row r="86" spans="1:4" s="4" customFormat="1" ht="16.5" thickBot="1" x14ac:dyDescent="0.3">
      <c r="A86" s="38" t="s">
        <v>305</v>
      </c>
      <c r="B86" s="46">
        <f>B84+B85</f>
        <v>1887670.5383485341</v>
      </c>
      <c r="C86" s="40"/>
      <c r="D86" s="41"/>
    </row>
    <row r="87" spans="1:4" s="4" customFormat="1" ht="16.5" thickBot="1" x14ac:dyDescent="0.3">
      <c r="A87" s="42" t="s">
        <v>306</v>
      </c>
      <c r="B87" s="46">
        <f>B10+B24+B26+B28+B29-B86</f>
        <v>-691560.04834853415</v>
      </c>
      <c r="C87" s="43"/>
      <c r="D87" s="43"/>
    </row>
    <row r="88" spans="1:4" s="4" customFormat="1" ht="16.5" hidden="1" thickBot="1" x14ac:dyDescent="0.3">
      <c r="A88" s="44" t="s">
        <v>307</v>
      </c>
      <c r="B88" s="46"/>
      <c r="C88" s="43"/>
      <c r="D88" s="43"/>
    </row>
    <row r="89" spans="1:4" s="4" customFormat="1" ht="16.5" hidden="1" thickBot="1" x14ac:dyDescent="0.3">
      <c r="A89" s="143" t="s">
        <v>308</v>
      </c>
      <c r="B89" s="46"/>
      <c r="C89" s="43"/>
      <c r="D89" s="43"/>
    </row>
    <row r="90" spans="1:4" ht="15.75" x14ac:dyDescent="0.25">
      <c r="A90" s="3"/>
      <c r="B90" s="130"/>
      <c r="C90" s="3"/>
      <c r="D90" s="3"/>
    </row>
    <row r="91" spans="1:4" ht="15.75" x14ac:dyDescent="0.25">
      <c r="A91" s="49"/>
      <c r="B91" s="3"/>
      <c r="C91" s="3"/>
      <c r="D91" s="3"/>
    </row>
    <row r="92" spans="1:4" ht="15.75" x14ac:dyDescent="0.25">
      <c r="A92" s="286" t="s">
        <v>542</v>
      </c>
      <c r="B92" s="286"/>
      <c r="C92" s="3"/>
      <c r="D92" s="3"/>
    </row>
    <row r="93" spans="1:4" ht="15.75" x14ac:dyDescent="0.25">
      <c r="A93" s="49"/>
      <c r="B93" s="3"/>
      <c r="C93" s="3"/>
      <c r="D93" s="3"/>
    </row>
    <row r="94" spans="1:4" ht="15.75" hidden="1" x14ac:dyDescent="0.25">
      <c r="A94" s="292" t="s">
        <v>399</v>
      </c>
      <c r="B94" s="292"/>
      <c r="C94" s="51"/>
      <c r="D94" s="3"/>
    </row>
    <row r="95" spans="1:4" ht="15.75" x14ac:dyDescent="0.25">
      <c r="A95" s="3"/>
      <c r="B95" s="3"/>
      <c r="C95" s="3"/>
      <c r="D95" s="3"/>
    </row>
  </sheetData>
  <autoFilter ref="A31:G89" xr:uid="{00000000-0009-0000-0000-00003A000000}">
    <filterColumn colId="1">
      <filters>
        <filter val="1 527 241,54"/>
        <filter val="1 573 058,78"/>
        <filter val="1 887 670,54"/>
        <filter val="11 305,85"/>
        <filter val="113 394,87"/>
        <filter val="12 200,00"/>
        <filter val="12 301,58"/>
        <filter val="12 343,02"/>
        <filter val="13 038,72"/>
        <filter val="133 903,31"/>
        <filter val="135 161,76"/>
        <filter val="135 453,83"/>
        <filter val="141 557,63"/>
        <filter val="148 064,70"/>
        <filter val="148 842,16"/>
        <filter val="156 334,52"/>
        <filter val="156 855,15"/>
        <filter val="27 095,90"/>
        <filter val="30 367,94"/>
        <filter val="309,63"/>
        <filter val="31 103,46"/>
        <filter val="314 611,76"/>
        <filter val="318 130,46"/>
        <filter val="342 495,35"/>
        <filter val="4 182,20"/>
        <filter val="42 375,98"/>
        <filter val="45 817,25"/>
        <filter val="484 514,63"/>
        <filter val="52 649,32"/>
        <filter val="66 372,62"/>
        <filter val="-691 560,05"/>
        <filter val="8 400,00"/>
        <filter val="90 084,17"/>
        <filter val="90 482,53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pageSetUpPr fitToPage="1"/>
  </sheetPr>
  <dimension ref="A1:G95"/>
  <sheetViews>
    <sheetView view="pageBreakPreview" topLeftCell="A70" zoomScale="70" zoomScaleNormal="100" zoomScaleSheetLayoutView="70" workbookViewId="0">
      <selection activeCell="A24" sqref="A24:B24"/>
    </sheetView>
  </sheetViews>
  <sheetFormatPr defaultRowHeight="12.75" x14ac:dyDescent="0.2"/>
  <cols>
    <col min="1" max="1" width="91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28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-1075857.1200000001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1524.2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0</v>
      </c>
      <c r="C14" s="60"/>
      <c r="D14" s="59"/>
    </row>
    <row r="15" spans="1:4" ht="15.75" hidden="1" x14ac:dyDescent="0.25">
      <c r="A15" s="58" t="s">
        <v>237</v>
      </c>
      <c r="B15" s="11">
        <f>B13+B14</f>
        <v>1524.2</v>
      </c>
      <c r="C15" s="61"/>
      <c r="D15" s="62"/>
    </row>
    <row r="16" spans="1:4" ht="16.5" hidden="1" thickBot="1" x14ac:dyDescent="0.3">
      <c r="A16" s="58" t="s">
        <v>238</v>
      </c>
      <c r="B16" s="11">
        <f>802.2+1716/3</f>
        <v>1374.2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640.9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833.2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82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544</v>
      </c>
      <c r="B24" s="255">
        <f>VLOOKUP(A5,мкд!W:X,2,FALSE)</f>
        <v>320399.64</v>
      </c>
      <c r="C24" s="59"/>
      <c r="D24" s="62"/>
      <c r="E24" s="194">
        <v>17.329999999999998</v>
      </c>
      <c r="F24" s="195">
        <v>18.62</v>
      </c>
      <c r="G24" s="54"/>
    </row>
    <row r="25" spans="1:7" ht="16.5" thickBot="1" x14ac:dyDescent="0.3">
      <c r="A25" s="64" t="s">
        <v>318</v>
      </c>
      <c r="B25" s="14">
        <f>VLOOKUP(A5,мкд!W:Y,3,FALSE)</f>
        <v>313370.06999999995</v>
      </c>
      <c r="C25" s="63"/>
      <c r="D25" s="62"/>
      <c r="E25" s="54">
        <f>E24*E23*B15+B15*F23*F24</f>
        <v>320905.06799999997</v>
      </c>
      <c r="F25" s="54"/>
      <c r="G25" s="54"/>
    </row>
    <row r="26" spans="1:7" ht="15.75" hidden="1" x14ac:dyDescent="0.25">
      <c r="A26" s="64" t="s">
        <v>319</v>
      </c>
      <c r="B26" s="14"/>
      <c r="C26" s="57"/>
      <c r="D26" s="59"/>
      <c r="E26" s="54"/>
      <c r="F26" s="54"/>
      <c r="G26" s="54"/>
    </row>
    <row r="27" spans="1:7" ht="16.5" hidden="1" thickBot="1" x14ac:dyDescent="0.3">
      <c r="A27" s="64" t="s">
        <v>248</v>
      </c>
      <c r="B27" s="14"/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1510.2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>
        <f>E24*B15*E23+B15*F23*F24</f>
        <v>320905.06799999997</v>
      </c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38478.006097523197</v>
      </c>
      <c r="C32" s="59"/>
      <c r="D32" s="62"/>
      <c r="E32" s="67">
        <f>(B86-B26-B24)/1.2/1.03</f>
        <v>118354.44149743089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f>18494.64*1.1194*1.0952+5263</f>
        <v>27936.816097523199</v>
      </c>
      <c r="C33" s="63"/>
      <c r="D33" s="62">
        <v>24081.94</v>
      </c>
      <c r="E33" s="54"/>
      <c r="F33" s="54"/>
      <c r="G33" s="54"/>
    </row>
    <row r="34" spans="1:7" ht="15.75" hidden="1" x14ac:dyDescent="0.25">
      <c r="A34" s="69" t="s">
        <v>320</v>
      </c>
      <c r="B34" s="11">
        <v>0</v>
      </c>
      <c r="C34" s="57"/>
      <c r="D34" s="59">
        <v>0</v>
      </c>
      <c r="E34" s="54"/>
      <c r="F34" s="54"/>
      <c r="G34" s="54"/>
    </row>
    <row r="35" spans="1:7" ht="15.75" hidden="1" x14ac:dyDescent="0.25">
      <c r="A35" s="69" t="s">
        <v>256</v>
      </c>
      <c r="B35" s="11"/>
      <c r="C35" s="62"/>
      <c r="D35" s="59">
        <v>0</v>
      </c>
      <c r="E35" s="54"/>
      <c r="F35" s="54"/>
      <c r="G35" s="54"/>
    </row>
    <row r="36" spans="1:7" ht="16.5" thickBot="1" x14ac:dyDescent="0.3">
      <c r="A36" s="69" t="s">
        <v>255</v>
      </c>
      <c r="B36" s="11">
        <v>10541.19</v>
      </c>
      <c r="C36" s="62" t="s">
        <v>234</v>
      </c>
      <c r="D36" s="59">
        <v>0</v>
      </c>
      <c r="E36" s="54"/>
      <c r="F36" s="54"/>
      <c r="G36" s="54"/>
    </row>
    <row r="37" spans="1:7" ht="16.5" hidden="1" thickBot="1" x14ac:dyDescent="0.3">
      <c r="A37" s="69" t="s">
        <v>257</v>
      </c>
      <c r="B37" s="11"/>
      <c r="C37" s="62"/>
      <c r="D37" s="59">
        <v>0</v>
      </c>
      <c r="E37" s="54"/>
      <c r="F37" s="54"/>
      <c r="G37" s="54"/>
    </row>
    <row r="38" spans="1:7" ht="16.5" hidden="1" thickBot="1" x14ac:dyDescent="0.3">
      <c r="A38" s="69" t="s">
        <v>338</v>
      </c>
      <c r="B38" s="11"/>
      <c r="C38" s="62"/>
      <c r="D38" s="59">
        <v>0</v>
      </c>
      <c r="E38" s="54"/>
      <c r="F38" s="54"/>
      <c r="G38" s="54"/>
    </row>
    <row r="39" spans="1:7" ht="32.25" hidden="1" thickBot="1" x14ac:dyDescent="0.3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6.5" hidden="1" thickBot="1" x14ac:dyDescent="0.3">
      <c r="A40" s="69" t="s">
        <v>310</v>
      </c>
      <c r="B40" s="11">
        <v>0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339</v>
      </c>
      <c r="B41" s="11">
        <v>0</v>
      </c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57934.168163373324</v>
      </c>
      <c r="C42" s="56"/>
      <c r="D42" s="62"/>
      <c r="E42" s="67"/>
      <c r="F42" s="67"/>
      <c r="G42" s="67"/>
    </row>
    <row r="43" spans="1:7" ht="15.75" hidden="1" x14ac:dyDescent="0.25">
      <c r="A43" s="69" t="s">
        <v>262</v>
      </c>
      <c r="B43" s="11"/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39958.94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('[1]34тарифы'!D163*B15+139.8)*1.1194*1.952</f>
        <v>17975.228163373322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42135</v>
      </c>
      <c r="C46" s="56"/>
      <c r="D46" s="62"/>
    </row>
    <row r="47" spans="1:7" ht="15.75" x14ac:dyDescent="0.25">
      <c r="A47" s="69" t="s">
        <v>324</v>
      </c>
      <c r="B47" s="162">
        <v>2691.72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62">
        <v>3268.56</v>
      </c>
      <c r="C48" s="62"/>
      <c r="D48" s="59"/>
      <c r="E48" s="54" t="s">
        <v>269</v>
      </c>
      <c r="F48" s="54"/>
      <c r="G48" s="54"/>
    </row>
    <row r="49" spans="1:6" ht="16.5" customHeight="1" x14ac:dyDescent="0.25">
      <c r="A49" s="75" t="s">
        <v>281</v>
      </c>
      <c r="B49" s="174">
        <v>134.36000000000001</v>
      </c>
      <c r="C49" s="62"/>
      <c r="D49" s="59"/>
      <c r="E49" s="54"/>
      <c r="F49" s="54"/>
    </row>
    <row r="50" spans="1:6" ht="15.75" customHeight="1" x14ac:dyDescent="0.25">
      <c r="A50" s="75" t="s">
        <v>518</v>
      </c>
      <c r="B50" s="11">
        <v>10009.93</v>
      </c>
      <c r="C50" s="62"/>
      <c r="D50" s="59">
        <v>4190</v>
      </c>
      <c r="E50" s="54"/>
      <c r="F50" s="54"/>
    </row>
    <row r="51" spans="1:6" ht="15.75" x14ac:dyDescent="0.25">
      <c r="A51" s="75" t="s">
        <v>314</v>
      </c>
      <c r="B51" s="11">
        <v>11440.44</v>
      </c>
      <c r="C51" s="62"/>
      <c r="D51" s="59"/>
      <c r="E51" s="54"/>
      <c r="F51" s="157">
        <f>B46+215.29-B59</f>
        <v>42350.29</v>
      </c>
    </row>
    <row r="52" spans="1:6" ht="15.75" hidden="1" x14ac:dyDescent="0.25">
      <c r="A52" s="75" t="s">
        <v>273</v>
      </c>
      <c r="B52" s="11">
        <f>B21*'[1]34тарифы'!D177</f>
        <v>0</v>
      </c>
      <c r="C52" s="62"/>
      <c r="D52" s="59">
        <v>105.14</v>
      </c>
      <c r="E52" s="54"/>
      <c r="F52" s="54"/>
    </row>
    <row r="53" spans="1:6" ht="15.75" hidden="1" x14ac:dyDescent="0.25">
      <c r="A53" s="75" t="s">
        <v>274</v>
      </c>
      <c r="B53" s="11">
        <v>0</v>
      </c>
      <c r="C53" s="62">
        <v>0</v>
      </c>
      <c r="D53" s="59">
        <v>522.99</v>
      </c>
      <c r="E53" s="54"/>
      <c r="F53" s="54"/>
    </row>
    <row r="54" spans="1:6" ht="15.75" hidden="1" x14ac:dyDescent="0.25">
      <c r="A54" s="75" t="s">
        <v>275</v>
      </c>
      <c r="B54" s="11">
        <v>0</v>
      </c>
      <c r="C54" s="62">
        <v>0</v>
      </c>
      <c r="D54" s="76">
        <v>695.13</v>
      </c>
      <c r="E54" s="54"/>
      <c r="F54" s="54"/>
    </row>
    <row r="55" spans="1:6" ht="15.75" hidden="1" x14ac:dyDescent="0.25">
      <c r="A55" s="75" t="s">
        <v>276</v>
      </c>
      <c r="B55" s="11">
        <v>0</v>
      </c>
      <c r="C55" s="62"/>
      <c r="D55" s="76"/>
      <c r="E55" s="54"/>
      <c r="F55" s="54"/>
    </row>
    <row r="56" spans="1:6" ht="15.75" hidden="1" x14ac:dyDescent="0.25">
      <c r="A56" s="75" t="s">
        <v>277</v>
      </c>
      <c r="B56" s="11">
        <v>0</v>
      </c>
      <c r="C56" s="62">
        <v>0</v>
      </c>
      <c r="D56" s="59">
        <f>10695.76/1.18</f>
        <v>9064.203389830509</v>
      </c>
      <c r="E56" s="54"/>
      <c r="F56" s="54"/>
    </row>
    <row r="57" spans="1:6" ht="15.75" hidden="1" x14ac:dyDescent="0.25">
      <c r="A57" s="75" t="s">
        <v>312</v>
      </c>
      <c r="B57" s="11">
        <v>0</v>
      </c>
      <c r="C57" s="62">
        <v>0</v>
      </c>
      <c r="D57" s="59">
        <f>2300/1.18</f>
        <v>1949.1525423728815</v>
      </c>
      <c r="E57" s="54"/>
      <c r="F57" s="54"/>
    </row>
    <row r="58" spans="1:6" ht="15.75" hidden="1" x14ac:dyDescent="0.25">
      <c r="A58" s="75" t="s">
        <v>313</v>
      </c>
      <c r="B58" s="11">
        <v>0</v>
      </c>
      <c r="C58" s="60">
        <v>0</v>
      </c>
      <c r="D58" s="59">
        <v>0</v>
      </c>
      <c r="E58" s="54"/>
      <c r="F58" s="54"/>
    </row>
    <row r="59" spans="1:6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  <c r="F59" s="54"/>
    </row>
    <row r="60" spans="1:6" ht="15.75" hidden="1" x14ac:dyDescent="0.25">
      <c r="A60" s="69" t="s">
        <v>279</v>
      </c>
      <c r="B60" s="11">
        <v>0</v>
      </c>
      <c r="C60" s="57"/>
      <c r="D60" s="59"/>
      <c r="E60" s="54"/>
      <c r="F60" s="54"/>
    </row>
    <row r="61" spans="1:6" ht="15.75" hidden="1" x14ac:dyDescent="0.25">
      <c r="A61" s="69" t="s">
        <v>280</v>
      </c>
      <c r="B61" s="11">
        <v>0</v>
      </c>
      <c r="C61" s="62"/>
      <c r="D61" s="59">
        <v>0</v>
      </c>
      <c r="E61" s="54"/>
      <c r="F61" s="54"/>
    </row>
    <row r="62" spans="1:6" ht="15.75" hidden="1" x14ac:dyDescent="0.25">
      <c r="A62" s="69" t="s">
        <v>336</v>
      </c>
      <c r="B62" s="11">
        <v>0</v>
      </c>
      <c r="C62" s="62"/>
      <c r="D62" s="59">
        <v>0</v>
      </c>
      <c r="E62" s="54"/>
      <c r="F62" s="54"/>
    </row>
    <row r="63" spans="1:6" ht="16.5" thickBot="1" x14ac:dyDescent="0.3">
      <c r="A63" s="69" t="s">
        <v>337</v>
      </c>
      <c r="B63" s="11">
        <v>14589.99</v>
      </c>
      <c r="C63" s="78">
        <v>1</v>
      </c>
      <c r="D63" s="59">
        <v>0</v>
      </c>
      <c r="E63" s="54"/>
      <c r="F63" s="54"/>
    </row>
    <row r="64" spans="1:6" ht="16.5" hidden="1" thickBot="1" x14ac:dyDescent="0.3">
      <c r="A64" s="69" t="s">
        <v>283</v>
      </c>
      <c r="B64" s="132">
        <v>0</v>
      </c>
      <c r="C64" s="79">
        <v>36</v>
      </c>
      <c r="D64" s="62">
        <v>2</v>
      </c>
      <c r="E64" s="54">
        <v>1</v>
      </c>
      <c r="F64" s="54"/>
    </row>
    <row r="65" spans="1:4" s="55" customFormat="1" ht="16.5" hidden="1" thickBot="1" x14ac:dyDescent="0.3">
      <c r="A65" s="69" t="s">
        <v>284</v>
      </c>
      <c r="B65" s="132">
        <v>0</v>
      </c>
      <c r="C65" s="80">
        <v>36</v>
      </c>
      <c r="D65" s="73">
        <f>650/1.18</f>
        <v>550.84745762711873</v>
      </c>
    </row>
    <row r="66" spans="1:4" s="55" customFormat="1" ht="16.5" thickBot="1" x14ac:dyDescent="0.3">
      <c r="A66" s="175" t="s">
        <v>285</v>
      </c>
      <c r="B66" s="121">
        <f>SUM(B67:B74)</f>
        <v>131692.6784648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49900*1.04*1.1194*1.09</f>
        <v>63320.696815999996</v>
      </c>
      <c r="C68" s="56"/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2057.67</v>
      </c>
      <c r="C70" s="60"/>
      <c r="D70" s="73">
        <f>B70/B15</f>
        <v>1.35</v>
      </c>
    </row>
    <row r="71" spans="1:4" ht="15.75" x14ac:dyDescent="0.25">
      <c r="A71" s="74" t="s">
        <v>290</v>
      </c>
      <c r="B71" s="11">
        <f>5.06*B15</f>
        <v>7712.4519999999993</v>
      </c>
      <c r="C71" s="81"/>
      <c r="D71" s="60"/>
    </row>
    <row r="72" spans="1:4" ht="15.75" x14ac:dyDescent="0.25">
      <c r="A72" s="74" t="s">
        <v>291</v>
      </c>
      <c r="B72" s="11">
        <f>17.68*B15</f>
        <v>26947.856</v>
      </c>
      <c r="C72" s="73"/>
      <c r="D72" s="60"/>
    </row>
    <row r="73" spans="1:4" ht="15.75" x14ac:dyDescent="0.25">
      <c r="A73" s="25" t="s">
        <v>292</v>
      </c>
      <c r="B73" s="11">
        <f>2641*1.04*1.1194*1.09</f>
        <v>3351.3018094399995</v>
      </c>
      <c r="C73" s="73"/>
      <c r="D73" s="60"/>
    </row>
    <row r="74" spans="1:4" ht="15.75" x14ac:dyDescent="0.25">
      <c r="A74" s="74" t="s">
        <v>293</v>
      </c>
      <c r="B74" s="11">
        <f>22304*1.04*1.1194*1.09</f>
        <v>28302.701839360001</v>
      </c>
      <c r="C74" s="73"/>
      <c r="D74" s="60"/>
    </row>
    <row r="75" spans="1:4" ht="63" x14ac:dyDescent="0.25">
      <c r="A75" s="213" t="s">
        <v>326</v>
      </c>
      <c r="B75" s="121">
        <f>SUM(B76:B76)</f>
        <v>56510.309916955281</v>
      </c>
      <c r="C75" s="73"/>
      <c r="D75" s="60"/>
    </row>
    <row r="76" spans="1:4" ht="15.75" x14ac:dyDescent="0.25">
      <c r="A76" s="74" t="s">
        <v>295</v>
      </c>
      <c r="B76" s="11">
        <f>'[1]34ОЭР'!D36*1.1194*1.09</f>
        <v>56510.309916955281</v>
      </c>
      <c r="C76" s="73"/>
      <c r="D76" s="60"/>
    </row>
    <row r="77" spans="1:4" s="55" customFormat="1" ht="31.5" x14ac:dyDescent="0.25">
      <c r="A77" s="175" t="s">
        <v>296</v>
      </c>
      <c r="B77" s="121">
        <f>SUM(B78:B81)</f>
        <v>50827.28856351693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</f>
        <v>40074.07856351693</v>
      </c>
      <c r="C78" s="63"/>
      <c r="D78" s="60"/>
    </row>
    <row r="79" spans="1:4" ht="16.5" hidden="1" thickBot="1" x14ac:dyDescent="0.3">
      <c r="A79" s="35" t="s">
        <v>298</v>
      </c>
      <c r="B79" s="11">
        <f>(B26/1.2)*30%</f>
        <v>0</v>
      </c>
      <c r="C79" s="65"/>
      <c r="D79" s="73"/>
    </row>
    <row r="80" spans="1:4" ht="15.75" x14ac:dyDescent="0.25">
      <c r="A80" s="83" t="s">
        <v>328</v>
      </c>
      <c r="B80" s="11">
        <f>3343.9+4949.92</f>
        <v>8293.82</v>
      </c>
      <c r="C80" s="81"/>
      <c r="D80" s="60"/>
    </row>
    <row r="81" spans="1:4" ht="15.75" x14ac:dyDescent="0.25">
      <c r="A81" s="83" t="s">
        <v>329</v>
      </c>
      <c r="B81" s="11">
        <v>2459.39</v>
      </c>
      <c r="C81" s="73"/>
      <c r="D81" s="60"/>
    </row>
    <row r="82" spans="1:4" ht="15.75" x14ac:dyDescent="0.25">
      <c r="A82" s="214" t="s">
        <v>301</v>
      </c>
      <c r="B82" s="14">
        <f>B32+B42+B46+B66+B75+B77</f>
        <v>377577.45120616874</v>
      </c>
      <c r="C82" s="73"/>
      <c r="D82" s="60"/>
    </row>
    <row r="83" spans="1:4" ht="15.75" x14ac:dyDescent="0.25">
      <c r="A83" s="215" t="s">
        <v>302</v>
      </c>
      <c r="B83" s="11">
        <f>B82*0.03</f>
        <v>11327.323536185062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388904.77474235382</v>
      </c>
      <c r="C84" s="73"/>
      <c r="D84" s="60"/>
    </row>
    <row r="85" spans="1:4" ht="16.5" thickBot="1" x14ac:dyDescent="0.3">
      <c r="A85" s="217" t="s">
        <v>304</v>
      </c>
      <c r="B85" s="142">
        <f>B84*0.2</f>
        <v>77780.954948470768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466685.72969082458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-1220633.0096908247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7" t="s">
        <v>747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05000000}">
    <filterColumn colId="1">
      <filters>
        <filter val="-1 220 633,01"/>
        <filter val="10 009,93"/>
        <filter val="10 541,19"/>
        <filter val="11 327,32"/>
        <filter val="11 440,44"/>
        <filter val="131 692,68"/>
        <filter val="134,36"/>
        <filter val="14 589,99"/>
        <filter val="17 975,23"/>
        <filter val="2 057,67"/>
        <filter val="2 459,39"/>
        <filter val="2 691,72"/>
        <filter val="26 947,86"/>
        <filter val="27 936,82"/>
        <filter val="28 302,70"/>
        <filter val="3 268,56"/>
        <filter val="3 351,30"/>
        <filter val="377 577,45"/>
        <filter val="38 478,01"/>
        <filter val="388 904,77"/>
        <filter val="39 958,94"/>
        <filter val="40 074,08"/>
        <filter val="42 135,00"/>
        <filter val="466 685,73"/>
        <filter val="50 827,29"/>
        <filter val="56 510,31"/>
        <filter val="57 934,17"/>
        <filter val="63 320,70"/>
        <filter val="7 712,45"/>
        <filter val="77 780,95"/>
        <filter val="8 293,82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4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filterMode="1">
    <pageSetUpPr fitToPage="1"/>
  </sheetPr>
  <dimension ref="A1:G103"/>
  <sheetViews>
    <sheetView view="pageBreakPreview" topLeftCell="A60" zoomScale="75" zoomScaleNormal="100" zoomScaleSheetLayoutView="75" workbookViewId="0">
      <selection activeCell="A24" sqref="A24:B24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125</v>
      </c>
      <c r="B5" s="184"/>
      <c r="C5" s="3"/>
      <c r="D5" s="3"/>
    </row>
    <row r="6" spans="1:4" ht="5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3.5" thickBot="1" x14ac:dyDescent="0.25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-877867.33</v>
      </c>
      <c r="C10" s="226"/>
      <c r="D10" s="226"/>
    </row>
    <row r="11" spans="1:4" s="227" customFormat="1" ht="16.5" hidden="1" thickBot="1" x14ac:dyDescent="0.3">
      <c r="A11" s="228" t="s">
        <v>232</v>
      </c>
      <c r="B11" s="229"/>
      <c r="C11" s="230"/>
      <c r="D11" s="230"/>
    </row>
    <row r="12" spans="1:4" ht="15.75" x14ac:dyDescent="0.25">
      <c r="A12" s="231" t="s">
        <v>233</v>
      </c>
      <c r="B12" s="210"/>
      <c r="C12" s="5" t="s">
        <v>234</v>
      </c>
      <c r="D12" s="6" t="s">
        <v>234</v>
      </c>
    </row>
    <row r="13" spans="1:4" ht="15.75" hidden="1" x14ac:dyDescent="0.25">
      <c r="A13" s="107" t="s">
        <v>235</v>
      </c>
      <c r="B13" s="8">
        <v>3517.3</v>
      </c>
      <c r="C13" s="9" t="s">
        <v>234</v>
      </c>
      <c r="D13" s="10" t="s">
        <v>234</v>
      </c>
    </row>
    <row r="14" spans="1:4" ht="15.75" hidden="1" x14ac:dyDescent="0.25">
      <c r="A14" s="107" t="s">
        <v>236</v>
      </c>
      <c r="B14" s="8">
        <v>0</v>
      </c>
      <c r="C14" s="9"/>
      <c r="D14" s="10"/>
    </row>
    <row r="15" spans="1:4" ht="15.75" hidden="1" x14ac:dyDescent="0.25">
      <c r="A15" s="123" t="s">
        <v>237</v>
      </c>
      <c r="B15" s="11">
        <f>B13+B14</f>
        <v>3517.3</v>
      </c>
      <c r="C15" s="9"/>
      <c r="D15" s="10"/>
    </row>
    <row r="16" spans="1:4" ht="15.75" hidden="1" x14ac:dyDescent="0.25">
      <c r="A16" s="123" t="s">
        <v>238</v>
      </c>
      <c r="B16" s="11">
        <f>2084.1+1326.3/3</f>
        <v>2526.1999999999998</v>
      </c>
      <c r="C16" s="9" t="s">
        <v>234</v>
      </c>
      <c r="D16" s="10" t="s">
        <v>234</v>
      </c>
    </row>
    <row r="17" spans="1:7" ht="15.75" hidden="1" x14ac:dyDescent="0.25">
      <c r="A17" s="107" t="s">
        <v>239</v>
      </c>
      <c r="B17" s="8">
        <v>0</v>
      </c>
      <c r="C17" s="9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107" t="s">
        <v>240</v>
      </c>
      <c r="B18" s="8">
        <v>870</v>
      </c>
      <c r="C18" s="9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107" t="s">
        <v>241</v>
      </c>
      <c r="B19" s="8">
        <v>0</v>
      </c>
      <c r="C19" s="9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107" t="s">
        <v>242</v>
      </c>
      <c r="B20" s="8">
        <v>1131</v>
      </c>
      <c r="C20" s="9"/>
      <c r="D20" s="10"/>
      <c r="E20" s="3"/>
      <c r="F20" s="3"/>
      <c r="G20" s="3"/>
    </row>
    <row r="21" spans="1:7" ht="15.75" hidden="1" x14ac:dyDescent="0.25">
      <c r="A21" s="107" t="s">
        <v>243</v>
      </c>
      <c r="B21" s="8">
        <v>0</v>
      </c>
      <c r="C21" s="9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107" t="s">
        <v>244</v>
      </c>
      <c r="B22" s="8">
        <v>190</v>
      </c>
      <c r="C22" s="9"/>
      <c r="D22" s="10"/>
      <c r="E22" s="3"/>
      <c r="F22" s="3"/>
      <c r="G22" s="3"/>
    </row>
    <row r="23" spans="1:7" ht="15.75" x14ac:dyDescent="0.25">
      <c r="A23" s="123"/>
      <c r="B23" s="11"/>
      <c r="C23" s="9"/>
      <c r="D23" s="10"/>
      <c r="E23" s="3">
        <v>10</v>
      </c>
      <c r="F23" s="3">
        <v>2</v>
      </c>
      <c r="G23" s="3"/>
    </row>
    <row r="24" spans="1:7" ht="15.75" x14ac:dyDescent="0.25">
      <c r="A24" s="259" t="s">
        <v>317</v>
      </c>
      <c r="B24" s="255">
        <f>VLOOKUP(A5,мкд!W:X,2,FALSE)</f>
        <v>740982.02</v>
      </c>
      <c r="C24" s="9"/>
      <c r="D24" s="10"/>
      <c r="E24" s="3">
        <v>15.48</v>
      </c>
      <c r="F24" s="3">
        <v>17.328312</v>
      </c>
      <c r="G24" s="3"/>
    </row>
    <row r="25" spans="1:7" ht="15.75" x14ac:dyDescent="0.25">
      <c r="A25" s="124" t="s">
        <v>318</v>
      </c>
      <c r="B25" s="14">
        <f>VLOOKUP(A5,мкд!W:Y,3,FALSE)</f>
        <v>689769.25</v>
      </c>
      <c r="C25" s="9"/>
      <c r="D25" s="10"/>
      <c r="E25" s="3"/>
      <c r="F25" s="3"/>
      <c r="G25" s="3"/>
    </row>
    <row r="26" spans="1:7" ht="15.75" hidden="1" x14ac:dyDescent="0.25">
      <c r="A26" s="124" t="s">
        <v>348</v>
      </c>
      <c r="B26" s="14"/>
      <c r="C26" s="9"/>
      <c r="D26" s="10"/>
      <c r="E26" s="3"/>
      <c r="F26" s="3"/>
      <c r="G26" s="3"/>
    </row>
    <row r="27" spans="1:7" ht="15.75" hidden="1" x14ac:dyDescent="0.25">
      <c r="A27" s="124" t="s">
        <v>349</v>
      </c>
      <c r="B27" s="14"/>
      <c r="C27" s="9"/>
      <c r="D27" s="10"/>
      <c r="E27" s="3"/>
      <c r="F27" s="3"/>
      <c r="G27" s="3"/>
    </row>
    <row r="28" spans="1:7" ht="15.75" x14ac:dyDescent="0.25">
      <c r="A28" s="124" t="s">
        <v>391</v>
      </c>
      <c r="B28" s="14">
        <v>7154.31</v>
      </c>
      <c r="C28" s="9"/>
      <c r="D28" s="10"/>
      <c r="E28" s="3"/>
      <c r="F28" s="3"/>
      <c r="G28" s="3"/>
    </row>
    <row r="29" spans="1:7" ht="15.75" hidden="1" x14ac:dyDescent="0.25">
      <c r="A29" s="124" t="s">
        <v>367</v>
      </c>
      <c r="B29" s="14"/>
      <c r="C29" s="9"/>
      <c r="D29" s="10"/>
      <c r="E29" s="3"/>
      <c r="F29" s="3"/>
      <c r="G29" s="3"/>
    </row>
    <row r="30" spans="1:7" ht="15.75" x14ac:dyDescent="0.25">
      <c r="A30" s="125"/>
      <c r="B30" s="11"/>
      <c r="C30" s="9"/>
      <c r="D30" s="10"/>
      <c r="E30" s="3"/>
      <c r="F30" s="3"/>
      <c r="G30" s="3"/>
    </row>
    <row r="31" spans="1:7" ht="15.75" x14ac:dyDescent="0.25">
      <c r="A31" s="232" t="s">
        <v>251</v>
      </c>
      <c r="B31" s="11"/>
      <c r="C31" s="9"/>
      <c r="D31" s="10"/>
      <c r="E31" s="3"/>
      <c r="F31" s="3"/>
      <c r="G31" s="3"/>
    </row>
    <row r="32" spans="1:7" s="18" customFormat="1" ht="31.5" x14ac:dyDescent="0.25">
      <c r="A32" s="126" t="s">
        <v>252</v>
      </c>
      <c r="B32" s="121">
        <f>SUM(B33:B41)</f>
        <v>130917.05</v>
      </c>
      <c r="C32" s="9"/>
      <c r="D32" s="10"/>
      <c r="E32" s="17">
        <f>(B86-B24-B26)/1.2/1.03</f>
        <v>174162.68690154643</v>
      </c>
      <c r="F32" s="17" t="e">
        <f>(#REF!-#REF!-#REF!)/1.2/1.03</f>
        <v>#REF!</v>
      </c>
      <c r="G32" s="17" t="e">
        <f>(#REF!-#REF!-#REF!)/1.2/1.03</f>
        <v>#REF!</v>
      </c>
    </row>
    <row r="33" spans="1:7" ht="15.75" x14ac:dyDescent="0.25">
      <c r="A33" s="127" t="s">
        <v>253</v>
      </c>
      <c r="B33" s="11">
        <v>81983.16</v>
      </c>
      <c r="C33" s="9"/>
      <c r="D33" s="10">
        <v>42248.9</v>
      </c>
      <c r="E33" s="3"/>
      <c r="F33" s="3"/>
      <c r="G33" s="3"/>
    </row>
    <row r="34" spans="1:7" ht="15.75" x14ac:dyDescent="0.25">
      <c r="A34" s="128" t="s">
        <v>320</v>
      </c>
      <c r="B34" s="8">
        <v>40702.53</v>
      </c>
      <c r="C34" s="9"/>
      <c r="D34" s="10">
        <v>0</v>
      </c>
      <c r="E34" s="3"/>
      <c r="F34" s="3"/>
      <c r="G34" s="3"/>
    </row>
    <row r="35" spans="1:7" ht="15.75" x14ac:dyDescent="0.25">
      <c r="A35" s="128" t="s">
        <v>256</v>
      </c>
      <c r="B35" s="8">
        <v>8231.36</v>
      </c>
      <c r="C35" s="9"/>
      <c r="D35" s="10">
        <v>0</v>
      </c>
      <c r="E35" s="3"/>
      <c r="F35" s="3"/>
      <c r="G35" s="3"/>
    </row>
    <row r="36" spans="1:7" ht="15.75" hidden="1" x14ac:dyDescent="0.25">
      <c r="A36" s="127" t="s">
        <v>255</v>
      </c>
      <c r="B36" s="11"/>
      <c r="C36" s="9" t="s">
        <v>234</v>
      </c>
      <c r="D36" s="10">
        <v>0</v>
      </c>
      <c r="E36" s="3"/>
      <c r="F36" s="3"/>
      <c r="G36" s="3"/>
    </row>
    <row r="37" spans="1:7" ht="15.75" hidden="1" x14ac:dyDescent="0.25">
      <c r="A37" s="127" t="s">
        <v>257</v>
      </c>
      <c r="B37" s="11"/>
      <c r="C37" s="9"/>
      <c r="D37" s="10">
        <v>0</v>
      </c>
      <c r="E37" s="3"/>
      <c r="F37" s="3"/>
      <c r="G37" s="3"/>
    </row>
    <row r="38" spans="1:7" ht="15.75" hidden="1" x14ac:dyDescent="0.25">
      <c r="A38" s="127" t="s">
        <v>258</v>
      </c>
      <c r="B38" s="11"/>
      <c r="C38" s="9"/>
      <c r="D38" s="10">
        <v>0</v>
      </c>
      <c r="E38" s="3"/>
      <c r="F38" s="3"/>
      <c r="G38" s="3"/>
    </row>
    <row r="39" spans="1:7" ht="15.75" hidden="1" x14ac:dyDescent="0.25">
      <c r="A39" s="110" t="s">
        <v>259</v>
      </c>
      <c r="B39" s="8"/>
      <c r="C39" s="9"/>
      <c r="D39" s="10">
        <v>0</v>
      </c>
      <c r="E39" s="3"/>
      <c r="F39" s="3"/>
      <c r="G39" s="3"/>
    </row>
    <row r="40" spans="1:7" ht="15.75" hidden="1" x14ac:dyDescent="0.25">
      <c r="A40" s="19" t="s">
        <v>339</v>
      </c>
      <c r="B40" s="11"/>
      <c r="C40" s="9"/>
      <c r="D40" s="10"/>
      <c r="E40" s="3"/>
      <c r="F40" s="3"/>
      <c r="G40" s="3"/>
    </row>
    <row r="41" spans="1:7" ht="15.75" hidden="1" x14ac:dyDescent="0.25">
      <c r="A41" s="19" t="s">
        <v>311</v>
      </c>
      <c r="B41" s="11"/>
      <c r="C41" s="9"/>
      <c r="D41" s="10"/>
      <c r="E41" s="3"/>
      <c r="F41" s="3"/>
      <c r="G41" s="3"/>
    </row>
    <row r="42" spans="1:7" s="18" customFormat="1" ht="47.25" x14ac:dyDescent="0.25">
      <c r="A42" s="126" t="s">
        <v>393</v>
      </c>
      <c r="B42" s="121">
        <f>SUM(B43:B45)</f>
        <v>20900.222172866015</v>
      </c>
      <c r="C42" s="9"/>
      <c r="D42" s="10"/>
      <c r="E42" s="17"/>
      <c r="F42" s="17"/>
      <c r="G42" s="17"/>
    </row>
    <row r="43" spans="1:7" ht="15.75" hidden="1" x14ac:dyDescent="0.25">
      <c r="A43" s="19" t="s">
        <v>262</v>
      </c>
      <c r="B43" s="11"/>
      <c r="C43" s="23"/>
      <c r="D43" s="24"/>
      <c r="E43" s="3"/>
      <c r="F43" s="3"/>
      <c r="G43" s="3"/>
    </row>
    <row r="44" spans="1:7" ht="15.75" hidden="1" x14ac:dyDescent="0.25">
      <c r="A44" s="19" t="s">
        <v>263</v>
      </c>
      <c r="B44" s="11"/>
      <c r="C44" s="23"/>
      <c r="D44" s="24"/>
      <c r="E44" s="3"/>
      <c r="F44" s="3"/>
      <c r="G44" s="3"/>
    </row>
    <row r="45" spans="1:7" ht="15.75" x14ac:dyDescent="0.25">
      <c r="A45" s="129" t="s">
        <v>264</v>
      </c>
      <c r="B45" s="11">
        <f>'[4]32тарифы'!D163*B15*1.12</f>
        <v>20900.222172866015</v>
      </c>
      <c r="C45" s="23"/>
      <c r="D45" s="24"/>
      <c r="E45" s="3"/>
      <c r="F45" s="3"/>
      <c r="G45" s="3"/>
    </row>
    <row r="46" spans="1:7" s="4" customFormat="1" ht="15.75" x14ac:dyDescent="0.25">
      <c r="A46" s="126" t="s">
        <v>265</v>
      </c>
      <c r="B46" s="121">
        <f>SUM(B47:B65)</f>
        <v>92301</v>
      </c>
      <c r="C46" s="9"/>
      <c r="D46" s="10"/>
    </row>
    <row r="47" spans="1:7" ht="15.75" x14ac:dyDescent="0.25">
      <c r="A47" s="127" t="s">
        <v>324</v>
      </c>
      <c r="B47" s="11">
        <v>3654</v>
      </c>
      <c r="C47" s="9"/>
      <c r="D47" s="10"/>
      <c r="E47" s="3" t="s">
        <v>267</v>
      </c>
      <c r="F47" s="3"/>
      <c r="G47" s="3"/>
    </row>
    <row r="48" spans="1:7" ht="15.75" x14ac:dyDescent="0.25">
      <c r="A48" s="127" t="s">
        <v>315</v>
      </c>
      <c r="B48" s="11">
        <v>4437</v>
      </c>
      <c r="C48" s="9"/>
      <c r="D48" s="10"/>
      <c r="E48" s="3" t="s">
        <v>269</v>
      </c>
      <c r="F48" s="3"/>
      <c r="G48" s="3"/>
    </row>
    <row r="49" spans="1:5" ht="15.75" hidden="1" x14ac:dyDescent="0.25">
      <c r="A49" s="95" t="s">
        <v>413</v>
      </c>
      <c r="B49" s="11"/>
      <c r="C49" s="9"/>
      <c r="D49" s="10"/>
      <c r="E49" s="3"/>
    </row>
    <row r="50" spans="1:5" ht="15.75" hidden="1" x14ac:dyDescent="0.25">
      <c r="A50" s="131" t="s">
        <v>373</v>
      </c>
      <c r="B50" s="8"/>
      <c r="C50" s="9"/>
      <c r="D50" s="10"/>
      <c r="E50" s="3"/>
    </row>
    <row r="51" spans="1:5" ht="15.75" hidden="1" x14ac:dyDescent="0.25">
      <c r="A51" s="95" t="s">
        <v>412</v>
      </c>
      <c r="B51" s="11"/>
      <c r="C51" s="9"/>
      <c r="D51" s="10"/>
      <c r="E51" s="3"/>
    </row>
    <row r="52" spans="1:5" ht="15.75" hidden="1" x14ac:dyDescent="0.25">
      <c r="A52" s="95" t="s">
        <v>414</v>
      </c>
      <c r="B52" s="11"/>
      <c r="C52" s="9"/>
      <c r="D52" s="10">
        <v>105.14</v>
      </c>
      <c r="E52" s="3"/>
    </row>
    <row r="53" spans="1:5" ht="15.75" x14ac:dyDescent="0.25">
      <c r="A53" s="131" t="s">
        <v>383</v>
      </c>
      <c r="B53" s="8">
        <v>8133.62</v>
      </c>
      <c r="C53" s="9">
        <v>1</v>
      </c>
      <c r="D53" s="10">
        <v>522.99</v>
      </c>
      <c r="E53" s="3"/>
    </row>
    <row r="54" spans="1:5" ht="15.75" x14ac:dyDescent="0.25">
      <c r="A54" s="111" t="s">
        <v>415</v>
      </c>
      <c r="B54" s="8">
        <v>24000</v>
      </c>
      <c r="C54" s="9">
        <v>1</v>
      </c>
      <c r="D54" s="28">
        <v>657.53</v>
      </c>
      <c r="E54" s="3"/>
    </row>
    <row r="55" spans="1:5" ht="15.75" hidden="1" x14ac:dyDescent="0.25">
      <c r="A55" s="95" t="s">
        <v>403</v>
      </c>
      <c r="B55" s="11"/>
      <c r="C55" s="9"/>
      <c r="D55" s="28"/>
      <c r="E55" s="3"/>
    </row>
    <row r="56" spans="1:5" ht="15.75" hidden="1" x14ac:dyDescent="0.25">
      <c r="A56" s="95" t="s">
        <v>277</v>
      </c>
      <c r="B56" s="11"/>
      <c r="C56" s="9">
        <v>0</v>
      </c>
      <c r="D56" s="10">
        <f>10695.76/1.18</f>
        <v>9064.203389830509</v>
      </c>
      <c r="E56" s="3"/>
    </row>
    <row r="57" spans="1:5" ht="15.75" x14ac:dyDescent="0.25">
      <c r="A57" s="95" t="s">
        <v>518</v>
      </c>
      <c r="B57" s="11">
        <v>22915.56</v>
      </c>
      <c r="C57" s="9">
        <v>0</v>
      </c>
      <c r="D57" s="10">
        <f>2300/1.18</f>
        <v>1949.1525423728815</v>
      </c>
      <c r="E57" s="130">
        <f>B80+B46-B59+654.09</f>
        <v>109629.72</v>
      </c>
    </row>
    <row r="58" spans="1:5" ht="15.75" hidden="1" x14ac:dyDescent="0.25">
      <c r="A58" s="131" t="s">
        <v>342</v>
      </c>
      <c r="B58" s="8"/>
      <c r="C58" s="9">
        <v>0</v>
      </c>
      <c r="D58" s="10">
        <v>0</v>
      </c>
      <c r="E58" s="3"/>
    </row>
    <row r="59" spans="1:5" ht="15.75" hidden="1" x14ac:dyDescent="0.25">
      <c r="A59" s="131" t="s">
        <v>278</v>
      </c>
      <c r="B59" s="8">
        <f>B13*'[4]32тарифы'!D184</f>
        <v>0</v>
      </c>
      <c r="C59" s="9"/>
      <c r="D59" s="10"/>
      <c r="E59" s="3"/>
    </row>
    <row r="60" spans="1:5" ht="15.75" x14ac:dyDescent="0.25">
      <c r="A60" s="110" t="s">
        <v>529</v>
      </c>
      <c r="B60" s="8">
        <v>4200</v>
      </c>
      <c r="C60" s="9"/>
      <c r="D60" s="10"/>
      <c r="E60" s="3"/>
    </row>
    <row r="61" spans="1:5" ht="15.75" hidden="1" x14ac:dyDescent="0.25">
      <c r="A61" s="110" t="s">
        <v>345</v>
      </c>
      <c r="B61" s="8"/>
      <c r="C61" s="9"/>
      <c r="D61" s="10">
        <v>0</v>
      </c>
      <c r="E61" s="3"/>
    </row>
    <row r="62" spans="1:5" ht="15.75" hidden="1" x14ac:dyDescent="0.25">
      <c r="A62" s="127" t="s">
        <v>281</v>
      </c>
      <c r="B62" s="11"/>
      <c r="C62" s="9"/>
      <c r="D62" s="10">
        <v>0</v>
      </c>
      <c r="E62" s="3"/>
    </row>
    <row r="63" spans="1:5" ht="15.75" hidden="1" x14ac:dyDescent="0.25">
      <c r="A63" s="127" t="s">
        <v>325</v>
      </c>
      <c r="B63" s="132"/>
      <c r="C63" s="30">
        <v>1</v>
      </c>
      <c r="D63" s="10">
        <v>0</v>
      </c>
      <c r="E63" s="3"/>
    </row>
    <row r="64" spans="1:5" ht="17.45" customHeight="1" x14ac:dyDescent="0.25">
      <c r="A64" s="19" t="s">
        <v>282</v>
      </c>
      <c r="B64" s="132">
        <v>24783.16</v>
      </c>
      <c r="C64" s="30">
        <v>80</v>
      </c>
      <c r="D64" s="10">
        <v>2</v>
      </c>
      <c r="E64" s="3">
        <v>0</v>
      </c>
    </row>
    <row r="65" spans="1:4" ht="18" customHeight="1" x14ac:dyDescent="0.25">
      <c r="A65" s="19" t="s">
        <v>281</v>
      </c>
      <c r="B65" s="132">
        <v>177.66</v>
      </c>
      <c r="C65" s="32">
        <v>80</v>
      </c>
      <c r="D65" s="24">
        <v>560</v>
      </c>
    </row>
    <row r="66" spans="1:4" s="4" customFormat="1" ht="15.75" x14ac:dyDescent="0.25">
      <c r="A66" s="133" t="s">
        <v>285</v>
      </c>
      <c r="B66" s="121">
        <f>SUM(B67:B74)</f>
        <v>280996.69421338534</v>
      </c>
      <c r="C66" s="23"/>
      <c r="D66" s="24"/>
    </row>
    <row r="67" spans="1:4" ht="15.75" hidden="1" x14ac:dyDescent="0.25">
      <c r="A67" s="110" t="s">
        <v>286</v>
      </c>
      <c r="B67" s="8"/>
      <c r="C67" s="23"/>
      <c r="D67" s="24"/>
    </row>
    <row r="68" spans="1:4" ht="15.75" x14ac:dyDescent="0.25">
      <c r="A68" s="127" t="s">
        <v>287</v>
      </c>
      <c r="B68" s="135">
        <f>96285*1.04*1.12*1.0952</f>
        <v>122829.71151360002</v>
      </c>
      <c r="C68" s="23"/>
      <c r="D68" s="24"/>
    </row>
    <row r="69" spans="1:4" ht="15.75" hidden="1" x14ac:dyDescent="0.25">
      <c r="A69" s="110" t="s">
        <v>288</v>
      </c>
      <c r="B69" s="8"/>
      <c r="C69" s="23"/>
      <c r="D69" s="24"/>
    </row>
    <row r="70" spans="1:4" ht="15.75" x14ac:dyDescent="0.25">
      <c r="A70" s="129" t="s">
        <v>289</v>
      </c>
      <c r="B70" s="11">
        <f>1.35*B15</f>
        <v>4748.3550000000005</v>
      </c>
      <c r="C70" s="23"/>
      <c r="D70" s="24"/>
    </row>
    <row r="71" spans="1:4" ht="15.75" x14ac:dyDescent="0.25">
      <c r="A71" s="129" t="s">
        <v>290</v>
      </c>
      <c r="B71" s="11">
        <f>5.06*B15</f>
        <v>17797.538</v>
      </c>
      <c r="C71" s="23"/>
      <c r="D71" s="24"/>
    </row>
    <row r="72" spans="1:4" ht="15.75" x14ac:dyDescent="0.25">
      <c r="A72" s="129" t="s">
        <v>291</v>
      </c>
      <c r="B72" s="11">
        <f>17.68*B15</f>
        <v>62185.864000000001</v>
      </c>
      <c r="C72" s="23"/>
      <c r="D72" s="24"/>
    </row>
    <row r="73" spans="1:4" ht="15.75" x14ac:dyDescent="0.25">
      <c r="A73" s="129" t="s">
        <v>292</v>
      </c>
      <c r="B73" s="11">
        <f>1.04*6095.61477270075*1.12*1.0952</f>
        <v>7776.1084699472576</v>
      </c>
      <c r="C73" s="23"/>
      <c r="D73" s="24"/>
    </row>
    <row r="74" spans="1:4" ht="15.75" x14ac:dyDescent="0.25">
      <c r="A74" s="129" t="s">
        <v>293</v>
      </c>
      <c r="B74" s="11">
        <f>1.04*51469.5347287775*1.12*1.0952</f>
        <v>65659.117229838055</v>
      </c>
      <c r="C74" s="23"/>
      <c r="D74" s="24"/>
    </row>
    <row r="75" spans="1:4" ht="63" x14ac:dyDescent="0.25">
      <c r="A75" s="136" t="s">
        <v>294</v>
      </c>
      <c r="B75" s="121">
        <f>SUM(B76:B76)</f>
        <v>131096.666624</v>
      </c>
      <c r="C75" s="23"/>
      <c r="D75" s="24"/>
    </row>
    <row r="76" spans="1:4" ht="15.75" x14ac:dyDescent="0.25">
      <c r="A76" s="129" t="s">
        <v>295</v>
      </c>
      <c r="B76" s="11">
        <f>106876*1.12*1.0952</f>
        <v>131096.666624</v>
      </c>
      <c r="C76" s="23"/>
      <c r="D76" s="24"/>
    </row>
    <row r="77" spans="1:4" s="4" customFormat="1" ht="15.75" x14ac:dyDescent="0.25">
      <c r="A77" s="133" t="s">
        <v>296</v>
      </c>
      <c r="B77" s="121">
        <f>SUM(B78:B81)</f>
        <v>117451.07007252473</v>
      </c>
      <c r="C77" s="23"/>
      <c r="D77" s="24"/>
    </row>
    <row r="78" spans="1:4" ht="15.75" x14ac:dyDescent="0.25">
      <c r="A78" s="137" t="s">
        <v>297</v>
      </c>
      <c r="B78" s="11">
        <f>84886.2253522243*1.0952</f>
        <v>92967.394005756039</v>
      </c>
      <c r="C78" s="23"/>
      <c r="D78" s="24"/>
    </row>
    <row r="79" spans="1:4" ht="15.75" hidden="1" x14ac:dyDescent="0.25">
      <c r="A79" s="137" t="s">
        <v>298</v>
      </c>
      <c r="B79" s="135">
        <f>(B26/1.2)*30%</f>
        <v>0</v>
      </c>
      <c r="C79" s="23"/>
      <c r="D79" s="24"/>
    </row>
    <row r="80" spans="1:4" ht="15.75" x14ac:dyDescent="0.25">
      <c r="A80" s="138" t="s">
        <v>299</v>
      </c>
      <c r="B80" s="11">
        <f>10683.84+5990.79</f>
        <v>16674.63</v>
      </c>
      <c r="C80" s="23"/>
      <c r="D80" s="24"/>
    </row>
    <row r="81" spans="1:4" ht="15.75" x14ac:dyDescent="0.25">
      <c r="A81" s="138" t="s">
        <v>300</v>
      </c>
      <c r="B81" s="11">
        <f>'[4]32тарифы'!D173*B13*1.12*1.01</f>
        <v>7809.0460667686793</v>
      </c>
      <c r="C81" s="23"/>
      <c r="D81" s="24"/>
    </row>
    <row r="82" spans="1:4" ht="15.75" x14ac:dyDescent="0.25">
      <c r="A82" s="233" t="s">
        <v>301</v>
      </c>
      <c r="B82" s="14">
        <f>B32+B42+B46+B66+B75+B77</f>
        <v>773662.70308277616</v>
      </c>
      <c r="C82" s="23"/>
      <c r="D82" s="24"/>
    </row>
    <row r="83" spans="1:4" ht="15.75" x14ac:dyDescent="0.25">
      <c r="A83" s="139" t="s">
        <v>302</v>
      </c>
      <c r="B83" s="11">
        <f>B82*0.03</f>
        <v>23209.881092483283</v>
      </c>
      <c r="C83" s="23"/>
      <c r="D83" s="24"/>
    </row>
    <row r="84" spans="1:4" s="18" customFormat="1" ht="15.75" x14ac:dyDescent="0.25">
      <c r="A84" s="140" t="s">
        <v>303</v>
      </c>
      <c r="B84" s="121">
        <f>B82+B83</f>
        <v>796872.58417525946</v>
      </c>
      <c r="C84" s="23"/>
      <c r="D84" s="24"/>
    </row>
    <row r="85" spans="1:4" ht="16.5" thickBot="1" x14ac:dyDescent="0.3">
      <c r="A85" s="141" t="s">
        <v>304</v>
      </c>
      <c r="B85" s="142">
        <f>B84*0.2</f>
        <v>159374.51683505191</v>
      </c>
      <c r="C85" s="23"/>
      <c r="D85" s="24"/>
    </row>
    <row r="86" spans="1:4" s="4" customFormat="1" ht="16.5" thickBot="1" x14ac:dyDescent="0.3">
      <c r="A86" s="38" t="s">
        <v>305</v>
      </c>
      <c r="B86" s="46">
        <f>B84+B85</f>
        <v>956247.10101031139</v>
      </c>
      <c r="C86" s="40"/>
      <c r="D86" s="41"/>
    </row>
    <row r="87" spans="1:4" s="4" customFormat="1" ht="16.5" thickBot="1" x14ac:dyDescent="0.3">
      <c r="A87" s="42" t="s">
        <v>306</v>
      </c>
      <c r="B87" s="46">
        <f>B10+B24+B26+B28+B29-B86</f>
        <v>-1085978.1010103114</v>
      </c>
      <c r="C87" s="43"/>
      <c r="D87" s="43"/>
    </row>
    <row r="88" spans="1:4" s="4" customFormat="1" ht="16.5" hidden="1" thickBot="1" x14ac:dyDescent="0.3">
      <c r="A88" s="44" t="s">
        <v>307</v>
      </c>
      <c r="B88" s="46"/>
      <c r="C88" s="43"/>
      <c r="D88" s="43"/>
    </row>
    <row r="89" spans="1:4" s="4" customFormat="1" ht="16.5" hidden="1" thickBot="1" x14ac:dyDescent="0.3">
      <c r="A89" s="143" t="s">
        <v>308</v>
      </c>
      <c r="B89" s="46"/>
      <c r="C89" s="43"/>
      <c r="D89" s="43"/>
    </row>
    <row r="90" spans="1:4" ht="15.75" x14ac:dyDescent="0.25">
      <c r="A90" s="3"/>
      <c r="B90" s="130"/>
      <c r="C90" s="3"/>
      <c r="D90" s="3"/>
    </row>
    <row r="91" spans="1:4" ht="15.75" x14ac:dyDescent="0.25">
      <c r="A91" s="49"/>
      <c r="B91" s="3"/>
      <c r="C91" s="3"/>
      <c r="D91" s="3"/>
    </row>
    <row r="92" spans="1:4" ht="15.75" x14ac:dyDescent="0.25">
      <c r="A92" s="286" t="s">
        <v>542</v>
      </c>
      <c r="B92" s="286"/>
      <c r="C92" s="3"/>
      <c r="D92" s="3"/>
    </row>
    <row r="93" spans="1:4" ht="15.75" x14ac:dyDescent="0.25">
      <c r="A93" s="49"/>
      <c r="B93" s="3"/>
      <c r="C93" s="3"/>
      <c r="D93" s="3"/>
    </row>
    <row r="94" spans="1:4" ht="15.75" hidden="1" x14ac:dyDescent="0.25">
      <c r="A94" s="292" t="s">
        <v>399</v>
      </c>
      <c r="B94" s="292"/>
      <c r="C94" s="51"/>
      <c r="D94" s="3"/>
    </row>
    <row r="101" hidden="1" x14ac:dyDescent="0.2"/>
    <row r="102" hidden="1" x14ac:dyDescent="0.2"/>
    <row r="103" hidden="1" x14ac:dyDescent="0.2"/>
  </sheetData>
  <autoFilter ref="A32:G89" xr:uid="{00000000-0009-0000-0000-00003B000000}">
    <filterColumn colId="1">
      <filters>
        <filter val="-1 085 978,10"/>
        <filter val="117 451,07"/>
        <filter val="122 829,71"/>
        <filter val="131 096,67"/>
        <filter val="159 374,52"/>
        <filter val="16 674,63"/>
        <filter val="17 797,54"/>
        <filter val="177,66"/>
        <filter val="20 900,22"/>
        <filter val="22 915,56"/>
        <filter val="23 209,88"/>
        <filter val="24 000,00"/>
        <filter val="24 783,16"/>
        <filter val="280 996,69"/>
        <filter val="3 654,00"/>
        <filter val="4 200,00"/>
        <filter val="4 437,00"/>
        <filter val="4 748,36"/>
        <filter val="40 702,53"/>
        <filter val="62 185,86"/>
        <filter val="65 659,12"/>
        <filter val="7 776,11"/>
        <filter val="7 809,05"/>
        <filter val="773 662,70"/>
        <filter val="796 872,58"/>
        <filter val="8 133,62"/>
        <filter val="8 231,36"/>
        <filter val="81 983,16"/>
        <filter val="92 301,00"/>
        <filter val="92 967,39"/>
        <filter val="956 247,1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4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filterMode="1">
    <pageSetUpPr fitToPage="1"/>
  </sheetPr>
  <dimension ref="A1:G95"/>
  <sheetViews>
    <sheetView view="pageBreakPreview" topLeftCell="A64" zoomScale="75" zoomScaleNormal="100" zoomScaleSheetLayoutView="75" workbookViewId="0">
      <selection activeCell="A24" sqref="A24:B24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4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126</v>
      </c>
      <c r="B5" s="184"/>
      <c r="C5" s="3"/>
      <c r="D5" s="3"/>
    </row>
    <row r="6" spans="1:4" ht="5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3.5" thickBot="1" x14ac:dyDescent="0.25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34">
        <f>VLOOKUP(A5,мкд!S:T,2,FALSE)</f>
        <v>-556235.43999999994</v>
      </c>
      <c r="C10" s="226"/>
      <c r="D10" s="226"/>
    </row>
    <row r="11" spans="1:4" s="227" customFormat="1" ht="16.5" hidden="1" thickBot="1" x14ac:dyDescent="0.3">
      <c r="A11" s="228" t="s">
        <v>232</v>
      </c>
      <c r="B11" s="235"/>
      <c r="C11" s="230"/>
      <c r="D11" s="230"/>
    </row>
    <row r="12" spans="1:4" ht="15.75" x14ac:dyDescent="0.25">
      <c r="A12" s="231" t="s">
        <v>233</v>
      </c>
      <c r="B12" s="210"/>
      <c r="C12" s="5" t="s">
        <v>234</v>
      </c>
      <c r="D12" s="6" t="s">
        <v>234</v>
      </c>
    </row>
    <row r="13" spans="1:4" ht="15.75" hidden="1" x14ac:dyDescent="0.25">
      <c r="A13" s="107" t="s">
        <v>235</v>
      </c>
      <c r="B13" s="8">
        <v>2618.8000000000002</v>
      </c>
      <c r="C13" s="9" t="s">
        <v>234</v>
      </c>
      <c r="D13" s="10" t="s">
        <v>234</v>
      </c>
    </row>
    <row r="14" spans="1:4" ht="15.75" hidden="1" x14ac:dyDescent="0.25">
      <c r="A14" s="107" t="s">
        <v>236</v>
      </c>
      <c r="B14" s="8">
        <v>0</v>
      </c>
      <c r="C14" s="9"/>
      <c r="D14" s="10"/>
    </row>
    <row r="15" spans="1:4" ht="15.75" hidden="1" x14ac:dyDescent="0.25">
      <c r="A15" s="123" t="s">
        <v>237</v>
      </c>
      <c r="B15" s="11">
        <f>B13+B14</f>
        <v>2618.8000000000002</v>
      </c>
      <c r="C15" s="9"/>
      <c r="D15" s="10"/>
    </row>
    <row r="16" spans="1:4" ht="15.75" hidden="1" x14ac:dyDescent="0.25">
      <c r="A16" s="123" t="s">
        <v>238</v>
      </c>
      <c r="B16" s="11">
        <f>1280.5+2335.4/3</f>
        <v>2058.9666666666667</v>
      </c>
      <c r="C16" s="9" t="s">
        <v>234</v>
      </c>
      <c r="D16" s="10" t="s">
        <v>234</v>
      </c>
    </row>
    <row r="17" spans="1:7" ht="15.75" hidden="1" x14ac:dyDescent="0.25">
      <c r="A17" s="107" t="s">
        <v>239</v>
      </c>
      <c r="B17" s="8">
        <v>0</v>
      </c>
      <c r="C17" s="9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107" t="s">
        <v>240</v>
      </c>
      <c r="B18" s="8">
        <v>679.9</v>
      </c>
      <c r="C18" s="9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107" t="s">
        <v>241</v>
      </c>
      <c r="B19" s="8">
        <v>0</v>
      </c>
      <c r="C19" s="9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107" t="s">
        <v>242</v>
      </c>
      <c r="B20" s="8">
        <v>747.9</v>
      </c>
      <c r="C20" s="9"/>
      <c r="D20" s="10"/>
      <c r="E20" s="3"/>
      <c r="F20" s="3"/>
      <c r="G20" s="3"/>
    </row>
    <row r="21" spans="1:7" ht="15.75" hidden="1" x14ac:dyDescent="0.25">
      <c r="A21" s="107" t="s">
        <v>243</v>
      </c>
      <c r="B21" s="8">
        <v>0</v>
      </c>
      <c r="C21" s="9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107" t="s">
        <v>244</v>
      </c>
      <c r="B22" s="8">
        <v>155</v>
      </c>
      <c r="C22" s="9"/>
      <c r="D22" s="10"/>
      <c r="E22" s="3"/>
      <c r="F22" s="3"/>
      <c r="G22" s="3"/>
    </row>
    <row r="23" spans="1:7" ht="15.75" x14ac:dyDescent="0.25">
      <c r="A23" s="123"/>
      <c r="B23" s="11"/>
      <c r="C23" s="9"/>
      <c r="D23" s="10"/>
      <c r="E23" s="3">
        <v>10</v>
      </c>
      <c r="F23" s="3">
        <v>2</v>
      </c>
      <c r="G23" s="3"/>
    </row>
    <row r="24" spans="1:7" ht="15.75" x14ac:dyDescent="0.25">
      <c r="A24" s="259" t="s">
        <v>317</v>
      </c>
      <c r="B24" s="255">
        <f>VLOOKUP(A5,мкд!W:X,2,FALSE)</f>
        <v>551266.97</v>
      </c>
      <c r="C24" s="9"/>
      <c r="D24" s="10"/>
      <c r="E24" s="3">
        <v>15.48</v>
      </c>
      <c r="F24" s="3">
        <v>17.328312</v>
      </c>
      <c r="G24" s="3"/>
    </row>
    <row r="25" spans="1:7" ht="15.75" x14ac:dyDescent="0.25">
      <c r="A25" s="124" t="s">
        <v>318</v>
      </c>
      <c r="B25" s="14">
        <f>VLOOKUP(A5,мкд!W:Y,3,FALSE)</f>
        <v>560269.78</v>
      </c>
      <c r="C25" s="9"/>
      <c r="D25" s="10"/>
      <c r="E25" s="3"/>
      <c r="F25" s="3"/>
      <c r="G25" s="3"/>
    </row>
    <row r="26" spans="1:7" ht="15.75" hidden="1" x14ac:dyDescent="0.25">
      <c r="A26" s="124" t="s">
        <v>348</v>
      </c>
      <c r="B26" s="14"/>
      <c r="C26" s="9"/>
      <c r="D26" s="10"/>
      <c r="E26" s="3"/>
      <c r="F26" s="3"/>
      <c r="G26" s="3"/>
    </row>
    <row r="27" spans="1:7" ht="15.75" hidden="1" x14ac:dyDescent="0.25">
      <c r="A27" s="124" t="s">
        <v>349</v>
      </c>
      <c r="B27" s="14"/>
      <c r="C27" s="9"/>
      <c r="D27" s="10"/>
      <c r="E27" s="3"/>
      <c r="F27" s="3"/>
      <c r="G27" s="3"/>
    </row>
    <row r="28" spans="1:7" ht="15.75" x14ac:dyDescent="0.25">
      <c r="A28" s="124" t="s">
        <v>391</v>
      </c>
      <c r="B28" s="14">
        <v>5781.36</v>
      </c>
      <c r="C28" s="9"/>
      <c r="D28" s="10"/>
      <c r="E28" s="3"/>
      <c r="F28" s="3"/>
      <c r="G28" s="3"/>
    </row>
    <row r="29" spans="1:7" ht="15.75" hidden="1" x14ac:dyDescent="0.25">
      <c r="A29" s="124" t="s">
        <v>250</v>
      </c>
      <c r="B29" s="11"/>
      <c r="C29" s="9"/>
      <c r="D29" s="10"/>
      <c r="E29" s="3"/>
      <c r="F29" s="3"/>
      <c r="G29" s="3"/>
    </row>
    <row r="30" spans="1:7" ht="15.75" x14ac:dyDescent="0.25">
      <c r="A30" s="125"/>
      <c r="B30" s="11"/>
      <c r="C30" s="9"/>
      <c r="D30" s="10"/>
      <c r="E30" s="3"/>
      <c r="F30" s="3"/>
      <c r="G30" s="3"/>
    </row>
    <row r="31" spans="1:7" ht="15.75" x14ac:dyDescent="0.25">
      <c r="A31" s="232" t="s">
        <v>251</v>
      </c>
      <c r="B31" s="11"/>
      <c r="C31" s="9"/>
      <c r="D31" s="10"/>
      <c r="E31" s="3"/>
      <c r="F31" s="3"/>
      <c r="G31" s="3"/>
    </row>
    <row r="32" spans="1:7" s="254" customFormat="1" ht="31.5" x14ac:dyDescent="0.25">
      <c r="A32" s="126" t="s">
        <v>252</v>
      </c>
      <c r="B32" s="252">
        <f>SUM(B33:B41)</f>
        <v>87313</v>
      </c>
      <c r="C32" s="9"/>
      <c r="D32" s="10"/>
      <c r="E32" s="253">
        <f>(B86-B24-B26)/1.2/1.03</f>
        <v>202408.1949484057</v>
      </c>
      <c r="F32" s="253" t="e">
        <f>(#REF!-#REF!-#REF!)/1.2/1.03</f>
        <v>#REF!</v>
      </c>
      <c r="G32" s="253" t="e">
        <f>(#REF!-#REF!-#REF!)/1.2/1.03</f>
        <v>#REF!</v>
      </c>
    </row>
    <row r="33" spans="1:7" ht="15.75" x14ac:dyDescent="0.25">
      <c r="A33" s="127" t="s">
        <v>253</v>
      </c>
      <c r="B33" s="11">
        <f>67326.71</f>
        <v>67326.710000000006</v>
      </c>
      <c r="C33" s="9"/>
      <c r="D33" s="10">
        <v>48870.559999999998</v>
      </c>
      <c r="E33" s="3"/>
      <c r="F33" s="3"/>
      <c r="G33" s="3"/>
    </row>
    <row r="34" spans="1:7" ht="15.75" x14ac:dyDescent="0.25">
      <c r="A34" s="128" t="s">
        <v>320</v>
      </c>
      <c r="B34" s="8">
        <v>18900.48</v>
      </c>
      <c r="C34" s="9"/>
      <c r="D34" s="10">
        <v>0</v>
      </c>
      <c r="E34" s="3"/>
      <c r="F34" s="3"/>
      <c r="G34" s="3"/>
    </row>
    <row r="35" spans="1:7" ht="15.75" hidden="1" x14ac:dyDescent="0.25">
      <c r="A35" s="128" t="s">
        <v>256</v>
      </c>
      <c r="B35" s="8"/>
      <c r="C35" s="9"/>
      <c r="D35" s="10">
        <v>0</v>
      </c>
      <c r="E35" s="3"/>
      <c r="F35" s="3"/>
      <c r="G35" s="3"/>
    </row>
    <row r="36" spans="1:7" ht="15.75" x14ac:dyDescent="0.25">
      <c r="A36" s="127" t="s">
        <v>255</v>
      </c>
      <c r="B36" s="11">
        <v>1085.81</v>
      </c>
      <c r="C36" s="9" t="s">
        <v>234</v>
      </c>
      <c r="D36" s="10">
        <v>0</v>
      </c>
      <c r="E36" s="3"/>
      <c r="F36" s="3"/>
      <c r="G36" s="3"/>
    </row>
    <row r="37" spans="1:7" ht="15.75" hidden="1" x14ac:dyDescent="0.25">
      <c r="A37" s="127" t="s">
        <v>257</v>
      </c>
      <c r="B37" s="11"/>
      <c r="C37" s="9"/>
      <c r="D37" s="10">
        <v>0</v>
      </c>
      <c r="E37" s="3"/>
      <c r="F37" s="3"/>
      <c r="G37" s="3"/>
    </row>
    <row r="38" spans="1:7" ht="15.75" hidden="1" x14ac:dyDescent="0.25">
      <c r="A38" s="127" t="s">
        <v>258</v>
      </c>
      <c r="B38" s="11"/>
      <c r="C38" s="9"/>
      <c r="D38" s="10">
        <v>0</v>
      </c>
      <c r="E38" s="3"/>
      <c r="F38" s="3"/>
      <c r="G38" s="3"/>
    </row>
    <row r="39" spans="1:7" ht="15" hidden="1" customHeight="1" x14ac:dyDescent="0.25">
      <c r="A39" s="110" t="s">
        <v>259</v>
      </c>
      <c r="B39" s="8"/>
      <c r="C39" s="9"/>
      <c r="D39" s="10">
        <v>0</v>
      </c>
      <c r="E39" s="3"/>
      <c r="F39" s="3"/>
      <c r="G39" s="3"/>
    </row>
    <row r="40" spans="1:7" ht="15" hidden="1" customHeight="1" x14ac:dyDescent="0.25">
      <c r="A40" s="19" t="s">
        <v>339</v>
      </c>
      <c r="B40" s="11"/>
      <c r="C40" s="9"/>
      <c r="D40" s="10"/>
      <c r="E40" s="3"/>
      <c r="F40" s="3"/>
      <c r="G40" s="3"/>
    </row>
    <row r="41" spans="1:7" ht="15" hidden="1" customHeight="1" x14ac:dyDescent="0.25">
      <c r="A41" s="19" t="s">
        <v>311</v>
      </c>
      <c r="B41" s="11"/>
      <c r="C41" s="9"/>
      <c r="D41" s="10"/>
      <c r="E41" s="3"/>
      <c r="F41" s="3"/>
      <c r="G41" s="3"/>
    </row>
    <row r="42" spans="1:7" s="18" customFormat="1" ht="15" customHeight="1" x14ac:dyDescent="0.25">
      <c r="A42" s="126" t="s">
        <v>393</v>
      </c>
      <c r="B42" s="121">
        <f>SUM(B43:B45)</f>
        <v>35263.924445123645</v>
      </c>
      <c r="C42" s="9"/>
      <c r="D42" s="10"/>
      <c r="E42" s="17"/>
      <c r="F42" s="17"/>
      <c r="G42" s="17"/>
    </row>
    <row r="43" spans="1:7" ht="15" hidden="1" customHeight="1" x14ac:dyDescent="0.25">
      <c r="A43" s="19" t="s">
        <v>262</v>
      </c>
      <c r="B43" s="11"/>
      <c r="C43" s="23"/>
      <c r="D43" s="24"/>
      <c r="E43" s="3"/>
      <c r="F43" s="3"/>
      <c r="G43" s="3"/>
    </row>
    <row r="44" spans="1:7" ht="15" customHeight="1" x14ac:dyDescent="0.25">
      <c r="A44" s="19" t="s">
        <v>263</v>
      </c>
      <c r="B44" s="11">
        <v>18685.46</v>
      </c>
      <c r="C44" s="23"/>
      <c r="D44" s="24"/>
      <c r="E44" s="3"/>
      <c r="F44" s="3"/>
      <c r="G44" s="3"/>
    </row>
    <row r="45" spans="1:7" ht="15" customHeight="1" x14ac:dyDescent="0.25">
      <c r="A45" s="129" t="s">
        <v>264</v>
      </c>
      <c r="B45" s="11">
        <f>'[4]32тарифы'!D163*B15*1.0952+1215.9*1.12</f>
        <v>16578.464445123649</v>
      </c>
      <c r="C45" s="23"/>
      <c r="D45" s="24"/>
      <c r="E45" s="3"/>
      <c r="F45" s="3"/>
      <c r="G45" s="3"/>
    </row>
    <row r="46" spans="1:7" s="4" customFormat="1" ht="15.75" x14ac:dyDescent="0.25">
      <c r="A46" s="126" t="s">
        <v>265</v>
      </c>
      <c r="B46" s="121">
        <f>SUM(B47:B65)</f>
        <v>100562.54000000001</v>
      </c>
      <c r="C46" s="9"/>
      <c r="D46" s="10"/>
    </row>
    <row r="47" spans="1:7" ht="15.75" x14ac:dyDescent="0.25">
      <c r="A47" s="127" t="s">
        <v>324</v>
      </c>
      <c r="B47" s="11">
        <v>2855.64</v>
      </c>
      <c r="C47" s="9"/>
      <c r="D47" s="10"/>
      <c r="E47" s="3" t="s">
        <v>267</v>
      </c>
      <c r="F47" s="3"/>
      <c r="G47" s="3"/>
    </row>
    <row r="48" spans="1:7" ht="15.75" x14ac:dyDescent="0.25">
      <c r="A48" s="127" t="s">
        <v>315</v>
      </c>
      <c r="B48" s="11">
        <v>3467.52</v>
      </c>
      <c r="C48" s="9"/>
      <c r="D48" s="10"/>
      <c r="E48" s="3" t="s">
        <v>269</v>
      </c>
      <c r="F48" s="3"/>
      <c r="G48" s="3"/>
    </row>
    <row r="49" spans="1:5" ht="15.75" hidden="1" x14ac:dyDescent="0.25">
      <c r="A49" s="95" t="s">
        <v>403</v>
      </c>
      <c r="B49" s="11"/>
      <c r="C49" s="9"/>
      <c r="D49" s="10"/>
      <c r="E49" s="3"/>
    </row>
    <row r="50" spans="1:5" ht="15.75" hidden="1" x14ac:dyDescent="0.25">
      <c r="A50" s="131" t="s">
        <v>373</v>
      </c>
      <c r="B50" s="8"/>
      <c r="C50" s="9"/>
      <c r="D50" s="10"/>
      <c r="E50" s="3"/>
    </row>
    <row r="51" spans="1:5" ht="15.75" hidden="1" x14ac:dyDescent="0.25">
      <c r="A51" s="95" t="s">
        <v>314</v>
      </c>
      <c r="B51" s="11"/>
      <c r="C51" s="9"/>
      <c r="D51" s="10"/>
      <c r="E51" s="3"/>
    </row>
    <row r="52" spans="1:5" ht="15.75" hidden="1" x14ac:dyDescent="0.25">
      <c r="A52" s="95" t="s">
        <v>344</v>
      </c>
      <c r="B52" s="11"/>
      <c r="C52" s="9"/>
      <c r="D52" s="10">
        <v>105.14</v>
      </c>
      <c r="E52" s="3"/>
    </row>
    <row r="53" spans="1:5" ht="15.75" x14ac:dyDescent="0.25">
      <c r="A53" s="131" t="s">
        <v>410</v>
      </c>
      <c r="B53" s="8">
        <v>24000</v>
      </c>
      <c r="C53" s="9">
        <v>1</v>
      </c>
      <c r="D53" s="10">
        <v>522.99</v>
      </c>
      <c r="E53" s="3"/>
    </row>
    <row r="54" spans="1:5" ht="15.75" x14ac:dyDescent="0.25">
      <c r="A54" s="111" t="s">
        <v>411</v>
      </c>
      <c r="B54" s="8">
        <v>8133.61</v>
      </c>
      <c r="C54" s="9">
        <v>1</v>
      </c>
      <c r="D54" s="28">
        <v>657.53</v>
      </c>
      <c r="E54" s="3"/>
    </row>
    <row r="55" spans="1:5" ht="15.75" hidden="1" x14ac:dyDescent="0.25">
      <c r="A55" s="95" t="s">
        <v>403</v>
      </c>
      <c r="B55" s="11"/>
      <c r="C55" s="9"/>
      <c r="D55" s="28"/>
      <c r="E55" s="3"/>
    </row>
    <row r="56" spans="1:5" ht="15.75" hidden="1" x14ac:dyDescent="0.25">
      <c r="A56" s="95" t="s">
        <v>277</v>
      </c>
      <c r="B56" s="11"/>
      <c r="C56" s="9">
        <v>0</v>
      </c>
      <c r="D56" s="10">
        <f>10695.76/1.18</f>
        <v>9064.203389830509</v>
      </c>
      <c r="E56" s="130">
        <f>B80+B46-B59+830.72</f>
        <v>113327.18000000001</v>
      </c>
    </row>
    <row r="57" spans="1:5" ht="15.75" hidden="1" x14ac:dyDescent="0.25">
      <c r="A57" s="95" t="s">
        <v>344</v>
      </c>
      <c r="B57" s="11"/>
      <c r="C57" s="9">
        <v>0</v>
      </c>
      <c r="D57" s="10">
        <f>2300/1.18</f>
        <v>1949.1525423728815</v>
      </c>
      <c r="E57" s="3"/>
    </row>
    <row r="58" spans="1:5" ht="15.75" hidden="1" x14ac:dyDescent="0.25">
      <c r="A58" s="131" t="s">
        <v>313</v>
      </c>
      <c r="B58" s="8"/>
      <c r="C58" s="9">
        <v>0</v>
      </c>
      <c r="D58" s="10">
        <v>0</v>
      </c>
      <c r="E58" s="3"/>
    </row>
    <row r="59" spans="1:5" ht="15.75" hidden="1" x14ac:dyDescent="0.25">
      <c r="A59" s="131" t="s">
        <v>278</v>
      </c>
      <c r="B59" s="8">
        <f>B13*'[4]32тарифы'!D184</f>
        <v>0</v>
      </c>
      <c r="C59" s="9"/>
      <c r="D59" s="10"/>
      <c r="E59" s="3"/>
    </row>
    <row r="60" spans="1:5" ht="15.75" hidden="1" x14ac:dyDescent="0.25">
      <c r="A60" s="110" t="s">
        <v>346</v>
      </c>
      <c r="B60" s="8"/>
      <c r="C60" s="9"/>
      <c r="D60" s="10"/>
      <c r="E60" s="3"/>
    </row>
    <row r="61" spans="1:5" ht="17.25" customHeight="1" x14ac:dyDescent="0.25">
      <c r="A61" s="110" t="s">
        <v>520</v>
      </c>
      <c r="B61" s="8">
        <v>4200</v>
      </c>
      <c r="C61" s="9"/>
      <c r="D61" s="10">
        <v>0</v>
      </c>
      <c r="E61" s="3"/>
    </row>
    <row r="62" spans="1:5" ht="17.25" customHeight="1" x14ac:dyDescent="0.25">
      <c r="A62" s="127" t="s">
        <v>281</v>
      </c>
      <c r="B62" s="11">
        <f>197.42+1160</f>
        <v>1357.42</v>
      </c>
      <c r="C62" s="9"/>
      <c r="D62" s="10">
        <v>0</v>
      </c>
      <c r="E62" s="3"/>
    </row>
    <row r="63" spans="1:5" ht="18.75" customHeight="1" x14ac:dyDescent="0.25">
      <c r="A63" s="127" t="s">
        <v>519</v>
      </c>
      <c r="B63" s="132">
        <v>15912</v>
      </c>
      <c r="C63" s="30">
        <v>1</v>
      </c>
      <c r="D63" s="10">
        <v>0</v>
      </c>
      <c r="E63" s="3"/>
    </row>
    <row r="64" spans="1:5" ht="18" customHeight="1" x14ac:dyDescent="0.25">
      <c r="A64" s="19" t="s">
        <v>518</v>
      </c>
      <c r="B64" s="132">
        <v>21607.47</v>
      </c>
      <c r="C64" s="30">
        <v>60</v>
      </c>
      <c r="D64" s="10">
        <v>2</v>
      </c>
      <c r="E64" s="3">
        <v>1</v>
      </c>
    </row>
    <row r="65" spans="1:4" ht="15.95" customHeight="1" x14ac:dyDescent="0.25">
      <c r="A65" s="19" t="s">
        <v>282</v>
      </c>
      <c r="B65" s="132">
        <v>19028.88</v>
      </c>
      <c r="C65" s="32">
        <v>60</v>
      </c>
      <c r="D65" s="24">
        <v>560</v>
      </c>
    </row>
    <row r="66" spans="1:4" s="4" customFormat="1" ht="15.75" x14ac:dyDescent="0.25">
      <c r="A66" s="133" t="s">
        <v>285</v>
      </c>
      <c r="B66" s="121">
        <f>SUM(B67:B74)</f>
        <v>240703.37301998056</v>
      </c>
      <c r="C66" s="23"/>
      <c r="D66" s="24"/>
    </row>
    <row r="67" spans="1:4" ht="15.75" hidden="1" x14ac:dyDescent="0.25">
      <c r="A67" s="110" t="s">
        <v>286</v>
      </c>
      <c r="B67" s="8"/>
      <c r="C67" s="23"/>
      <c r="D67" s="24"/>
    </row>
    <row r="68" spans="1:4" ht="15.75" x14ac:dyDescent="0.25">
      <c r="A68" s="127" t="s">
        <v>287</v>
      </c>
      <c r="B68" s="135">
        <f>96284*1.04*1.12*1.0952</f>
        <v>122828.43582464001</v>
      </c>
      <c r="C68" s="23"/>
      <c r="D68" s="24"/>
    </row>
    <row r="69" spans="1:4" ht="15.75" hidden="1" x14ac:dyDescent="0.25">
      <c r="A69" s="110" t="s">
        <v>288</v>
      </c>
      <c r="B69" s="8"/>
      <c r="C69" s="23"/>
      <c r="D69" s="24"/>
    </row>
    <row r="70" spans="1:4" ht="15.75" x14ac:dyDescent="0.25">
      <c r="A70" s="129" t="s">
        <v>289</v>
      </c>
      <c r="B70" s="11">
        <f>1.35*B15</f>
        <v>3535.3800000000006</v>
      </c>
      <c r="C70" s="23"/>
      <c r="D70" s="24"/>
    </row>
    <row r="71" spans="1:4" ht="15.75" x14ac:dyDescent="0.25">
      <c r="A71" s="129" t="s">
        <v>290</v>
      </c>
      <c r="B71" s="11">
        <f>5.06*B15</f>
        <v>13251.128000000001</v>
      </c>
      <c r="C71" s="23"/>
      <c r="D71" s="24"/>
    </row>
    <row r="72" spans="1:4" ht="15.75" x14ac:dyDescent="0.25">
      <c r="A72" s="129" t="s">
        <v>291</v>
      </c>
      <c r="B72" s="11">
        <f>17.68*B15</f>
        <v>46300.384000000005</v>
      </c>
      <c r="C72" s="23"/>
      <c r="D72" s="24"/>
    </row>
    <row r="73" spans="1:4" ht="15.75" x14ac:dyDescent="0.25">
      <c r="A73" s="129" t="s">
        <v>292</v>
      </c>
      <c r="B73" s="11">
        <f>1.04*4626.25007470182*1.12*1.0952</f>
        <v>5901.6561464962888</v>
      </c>
      <c r="C73" s="23"/>
      <c r="D73" s="24"/>
    </row>
    <row r="74" spans="1:4" ht="15.75" x14ac:dyDescent="0.25">
      <c r="A74" s="129" t="s">
        <v>293</v>
      </c>
      <c r="B74" s="11">
        <f>1.04*38321.5584532802*1.12*1.0952</f>
        <v>48886.389048844234</v>
      </c>
      <c r="C74" s="23"/>
      <c r="D74" s="24"/>
    </row>
    <row r="75" spans="1:4" ht="63" x14ac:dyDescent="0.25">
      <c r="A75" s="136" t="s">
        <v>294</v>
      </c>
      <c r="B75" s="121">
        <f>SUM(B76:B76)</f>
        <v>97607.378175999998</v>
      </c>
      <c r="C75" s="23"/>
      <c r="D75" s="24"/>
    </row>
    <row r="76" spans="1:4" ht="15.75" x14ac:dyDescent="0.25">
      <c r="A76" s="129" t="s">
        <v>295</v>
      </c>
      <c r="B76" s="11">
        <f>79574*1.12*1.0952</f>
        <v>97607.378175999998</v>
      </c>
      <c r="C76" s="23"/>
      <c r="D76" s="24"/>
    </row>
    <row r="77" spans="1:4" s="4" customFormat="1" ht="15.75" x14ac:dyDescent="0.25">
      <c r="A77" s="133" t="s">
        <v>296</v>
      </c>
      <c r="B77" s="121">
        <f>SUM(B78:B81)</f>
        <v>86966.854711832289</v>
      </c>
      <c r="C77" s="23"/>
      <c r="D77" s="24"/>
    </row>
    <row r="78" spans="1:4" ht="15.75" x14ac:dyDescent="0.25">
      <c r="A78" s="137" t="s">
        <v>297</v>
      </c>
      <c r="B78" s="11">
        <f>'[4]32тарифы'!D170*B15*1.12*1.0952</f>
        <v>69218.722151159673</v>
      </c>
      <c r="C78" s="23"/>
      <c r="D78" s="24"/>
    </row>
    <row r="79" spans="1:4" ht="15.75" hidden="1" x14ac:dyDescent="0.25">
      <c r="A79" s="137" t="s">
        <v>298</v>
      </c>
      <c r="B79" s="135">
        <f>(B26/1.2)*30%</f>
        <v>0</v>
      </c>
      <c r="C79" s="23"/>
      <c r="D79" s="24"/>
    </row>
    <row r="80" spans="1:4" ht="15.75" x14ac:dyDescent="0.25">
      <c r="A80" s="138" t="s">
        <v>299</v>
      </c>
      <c r="B80" s="11">
        <f>5416.75+6517.17</f>
        <v>11933.92</v>
      </c>
      <c r="C80" s="23"/>
      <c r="D80" s="24"/>
    </row>
    <row r="81" spans="1:4" ht="15.75" x14ac:dyDescent="0.25">
      <c r="A81" s="138" t="s">
        <v>300</v>
      </c>
      <c r="B81" s="11">
        <f>'[4]32тарифы'!D173*B13*1.12*1.01</f>
        <v>5814.212560672624</v>
      </c>
      <c r="C81" s="23"/>
      <c r="D81" s="24"/>
    </row>
    <row r="82" spans="1:4" ht="15.75" x14ac:dyDescent="0.25">
      <c r="A82" s="233" t="s">
        <v>301</v>
      </c>
      <c r="B82" s="14">
        <f>B32+B42+B46+B66+B75+B77</f>
        <v>648417.0703529364</v>
      </c>
      <c r="C82" s="23"/>
      <c r="D82" s="24"/>
    </row>
    <row r="83" spans="1:4" ht="15.75" x14ac:dyDescent="0.25">
      <c r="A83" s="139" t="s">
        <v>302</v>
      </c>
      <c r="B83" s="11">
        <f>B82*0.03</f>
        <v>19452.51211058809</v>
      </c>
      <c r="C83" s="23"/>
      <c r="D83" s="24"/>
    </row>
    <row r="84" spans="1:4" s="18" customFormat="1" ht="15.75" x14ac:dyDescent="0.25">
      <c r="A84" s="140" t="s">
        <v>303</v>
      </c>
      <c r="B84" s="121">
        <f>B82+B83</f>
        <v>667869.58246352454</v>
      </c>
      <c r="C84" s="23"/>
      <c r="D84" s="24"/>
    </row>
    <row r="85" spans="1:4" ht="16.5" thickBot="1" x14ac:dyDescent="0.3">
      <c r="A85" s="141" t="s">
        <v>304</v>
      </c>
      <c r="B85" s="142">
        <f>B84*0.2</f>
        <v>133573.91649270491</v>
      </c>
      <c r="C85" s="23"/>
      <c r="D85" s="24"/>
    </row>
    <row r="86" spans="1:4" s="4" customFormat="1" ht="16.5" thickBot="1" x14ac:dyDescent="0.3">
      <c r="A86" s="38" t="s">
        <v>305</v>
      </c>
      <c r="B86" s="46">
        <f>B84+B85</f>
        <v>801443.49895622942</v>
      </c>
      <c r="C86" s="40"/>
      <c r="D86" s="41"/>
    </row>
    <row r="87" spans="1:4" s="4" customFormat="1" ht="16.5" thickBot="1" x14ac:dyDescent="0.3">
      <c r="A87" s="42" t="s">
        <v>306</v>
      </c>
      <c r="B87" s="46">
        <f>B10+B24+B26+B28+B29-B86</f>
        <v>-800630.60895622941</v>
      </c>
      <c r="C87" s="43"/>
      <c r="D87" s="43"/>
    </row>
    <row r="88" spans="1:4" s="4" customFormat="1" ht="16.5" hidden="1" thickBot="1" x14ac:dyDescent="0.3">
      <c r="A88" s="44" t="s">
        <v>307</v>
      </c>
      <c r="B88" s="46"/>
      <c r="C88" s="43"/>
      <c r="D88" s="43"/>
    </row>
    <row r="89" spans="1:4" s="4" customFormat="1" ht="16.5" hidden="1" thickBot="1" x14ac:dyDescent="0.3">
      <c r="A89" s="143" t="s">
        <v>308</v>
      </c>
      <c r="B89" s="46"/>
      <c r="C89" s="43"/>
      <c r="D89" s="43"/>
    </row>
    <row r="90" spans="1:4" ht="15.75" x14ac:dyDescent="0.25">
      <c r="A90" s="3"/>
      <c r="B90" s="130"/>
      <c r="C90" s="3"/>
      <c r="D90" s="3"/>
    </row>
    <row r="91" spans="1:4" ht="15.75" x14ac:dyDescent="0.25">
      <c r="A91" s="49"/>
      <c r="B91" s="3"/>
      <c r="C91" s="3"/>
      <c r="D91" s="3"/>
    </row>
    <row r="92" spans="1:4" ht="15.75" x14ac:dyDescent="0.25">
      <c r="A92" s="286" t="s">
        <v>542</v>
      </c>
      <c r="B92" s="286"/>
      <c r="C92" s="3"/>
      <c r="D92" s="3"/>
    </row>
    <row r="93" spans="1:4" ht="15.75" x14ac:dyDescent="0.25">
      <c r="A93" s="49"/>
      <c r="B93" s="3"/>
      <c r="C93" s="3"/>
      <c r="D93" s="3"/>
    </row>
    <row r="94" spans="1:4" ht="15.75" hidden="1" x14ac:dyDescent="0.25">
      <c r="A94" s="292" t="s">
        <v>399</v>
      </c>
      <c r="B94" s="292"/>
      <c r="C94" s="51"/>
      <c r="D94" s="3"/>
    </row>
    <row r="95" spans="1:4" ht="15.75" x14ac:dyDescent="0.25">
      <c r="A95" s="3"/>
      <c r="B95" s="3"/>
      <c r="C95" s="3"/>
      <c r="D95" s="3"/>
    </row>
  </sheetData>
  <autoFilter ref="A32:G89" xr:uid="{00000000-0009-0000-0000-00003C000000}">
    <filterColumn colId="1">
      <filters>
        <filter val="1 085,81"/>
        <filter val="1 357,42"/>
        <filter val="100 562,54"/>
        <filter val="11 933,92"/>
        <filter val="122 828,44"/>
        <filter val="13 251,13"/>
        <filter val="133 573,92"/>
        <filter val="15 912,00"/>
        <filter val="16 578,46"/>
        <filter val="18 685,46"/>
        <filter val="18 900,48"/>
        <filter val="19 028,88"/>
        <filter val="19 452,51"/>
        <filter val="2 855,64"/>
        <filter val="21 607,47"/>
        <filter val="24 000,00"/>
        <filter val="240 703,37"/>
        <filter val="3 467,52"/>
        <filter val="3 535,38"/>
        <filter val="35 263,92"/>
        <filter val="4 200,00"/>
        <filter val="46 300,38"/>
        <filter val="48 886,39"/>
        <filter val="5 814,21"/>
        <filter val="5 901,66"/>
        <filter val="648 417,07"/>
        <filter val="667 869,58"/>
        <filter val="67 326,71"/>
        <filter val="69 218,72"/>
        <filter val="8 133,61"/>
        <filter val="-800 630,61"/>
        <filter val="801 443,50"/>
        <filter val="86 966,85"/>
        <filter val="97 607,38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4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filterMode="1">
    <tabColor theme="5" tint="-0.249977111117893"/>
    <pageSetUpPr fitToPage="1"/>
  </sheetPr>
  <dimension ref="A1:G90"/>
  <sheetViews>
    <sheetView view="pageBreakPreview" topLeftCell="A61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129</v>
      </c>
      <c r="B5" s="185"/>
      <c r="C5" s="3"/>
      <c r="D5" s="3"/>
    </row>
    <row r="6" spans="1:4" ht="5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71" t="s">
        <v>227</v>
      </c>
      <c r="B8" s="273" t="s">
        <v>228</v>
      </c>
      <c r="C8" s="265" t="s">
        <v>229</v>
      </c>
      <c r="D8" s="265" t="s">
        <v>230</v>
      </c>
    </row>
    <row r="9" spans="1:4" ht="13.5" thickBot="1" x14ac:dyDescent="0.25">
      <c r="A9" s="272"/>
      <c r="B9" s="274"/>
      <c r="C9" s="266"/>
      <c r="D9" s="266"/>
    </row>
    <row r="10" spans="1:4" ht="16.5" thickBot="1" x14ac:dyDescent="0.25">
      <c r="A10" s="187" t="s">
        <v>231</v>
      </c>
      <c r="B10" s="188">
        <v>4761573.3099999996</v>
      </c>
      <c r="C10" s="189"/>
      <c r="D10" s="189"/>
    </row>
    <row r="11" spans="1:4" ht="16.5" hidden="1" thickBot="1" x14ac:dyDescent="0.25">
      <c r="A11" s="190" t="s">
        <v>232</v>
      </c>
      <c r="B11" s="188"/>
      <c r="C11" s="191"/>
      <c r="D11" s="191"/>
    </row>
    <row r="12" spans="1:4" ht="15.75" x14ac:dyDescent="0.25">
      <c r="A12" s="192" t="s">
        <v>233</v>
      </c>
      <c r="B12" s="193"/>
      <c r="C12" s="5" t="s">
        <v>234</v>
      </c>
      <c r="D12" s="6" t="s">
        <v>234</v>
      </c>
    </row>
    <row r="13" spans="1:4" ht="15.75" hidden="1" x14ac:dyDescent="0.25">
      <c r="A13" s="7" t="s">
        <v>235</v>
      </c>
      <c r="B13" s="8">
        <v>12271.6</v>
      </c>
      <c r="C13" s="9" t="s">
        <v>234</v>
      </c>
      <c r="D13" s="10" t="s">
        <v>234</v>
      </c>
    </row>
    <row r="14" spans="1:4" ht="15.75" hidden="1" x14ac:dyDescent="0.25">
      <c r="A14" s="7" t="s">
        <v>236</v>
      </c>
      <c r="B14" s="8">
        <v>2510.4</v>
      </c>
      <c r="C14" s="9"/>
      <c r="D14" s="10"/>
    </row>
    <row r="15" spans="1:4" ht="15.75" hidden="1" x14ac:dyDescent="0.25">
      <c r="A15" s="7" t="s">
        <v>237</v>
      </c>
      <c r="B15" s="8">
        <f>B13+B14</f>
        <v>14782</v>
      </c>
      <c r="C15" s="9"/>
      <c r="D15" s="10"/>
    </row>
    <row r="16" spans="1:4" ht="15.75" hidden="1" x14ac:dyDescent="0.25">
      <c r="A16" s="7" t="s">
        <v>238</v>
      </c>
      <c r="B16" s="8">
        <f>4333.4+1404.4/3</f>
        <v>4801.5333333333328</v>
      </c>
      <c r="C16" s="9" t="s">
        <v>234</v>
      </c>
      <c r="D16" s="10" t="s">
        <v>234</v>
      </c>
    </row>
    <row r="17" spans="1:7" ht="15.75" hidden="1" x14ac:dyDescent="0.25">
      <c r="A17" s="7" t="s">
        <v>239</v>
      </c>
      <c r="B17" s="8">
        <v>0</v>
      </c>
      <c r="C17" s="9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7" t="s">
        <v>240</v>
      </c>
      <c r="B18" s="8">
        <v>1355.1</v>
      </c>
      <c r="C18" s="9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7" t="s">
        <v>241</v>
      </c>
      <c r="B19" s="8">
        <v>583</v>
      </c>
      <c r="C19" s="9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7" t="s">
        <v>242</v>
      </c>
      <c r="B20" s="8">
        <v>7475.1</v>
      </c>
      <c r="C20" s="9"/>
      <c r="D20" s="10"/>
      <c r="E20" s="3"/>
      <c r="F20" s="3"/>
      <c r="G20" s="3"/>
    </row>
    <row r="21" spans="1:7" ht="15.75" hidden="1" x14ac:dyDescent="0.25">
      <c r="A21" s="7" t="s">
        <v>243</v>
      </c>
      <c r="B21" s="8">
        <v>6</v>
      </c>
      <c r="C21" s="9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7" t="s">
        <v>244</v>
      </c>
      <c r="B22" s="8">
        <v>646</v>
      </c>
      <c r="C22" s="9"/>
      <c r="D22" s="10"/>
      <c r="E22" s="3"/>
      <c r="F22" s="3"/>
      <c r="G22" s="3"/>
    </row>
    <row r="23" spans="1:7" ht="15.75" x14ac:dyDescent="0.25">
      <c r="A23" s="7"/>
      <c r="B23" s="11"/>
      <c r="C23" s="9"/>
      <c r="D23" s="10"/>
      <c r="E23" s="3">
        <v>12</v>
      </c>
      <c r="F23" s="3"/>
      <c r="G23" s="3"/>
    </row>
    <row r="24" spans="1:7" ht="15.75" x14ac:dyDescent="0.25">
      <c r="A24" s="257" t="s">
        <v>245</v>
      </c>
      <c r="B24" s="255">
        <f>VLOOKUP(A5,мкд!W:X,2,FALSE)</f>
        <v>2523922.3200000003</v>
      </c>
      <c r="C24" s="9"/>
      <c r="D24" s="10"/>
      <c r="E24" s="194">
        <v>17.14</v>
      </c>
      <c r="F24" s="3"/>
      <c r="G24" s="3"/>
    </row>
    <row r="25" spans="1:7" ht="15.75" x14ac:dyDescent="0.25">
      <c r="A25" s="12" t="s">
        <v>246</v>
      </c>
      <c r="B25" s="14">
        <f>VLOOKUP(A5,мкд!W:Y,3,FALSE)</f>
        <v>2511129.23</v>
      </c>
      <c r="C25" s="9"/>
      <c r="D25" s="10"/>
      <c r="E25" s="3"/>
      <c r="F25" s="3"/>
      <c r="G25" s="3"/>
    </row>
    <row r="26" spans="1:7" ht="15.75" x14ac:dyDescent="0.25">
      <c r="A26" s="12" t="s">
        <v>247</v>
      </c>
      <c r="B26" s="13">
        <v>531641.66</v>
      </c>
      <c r="C26" s="9"/>
      <c r="D26" s="10"/>
      <c r="E26" s="3"/>
      <c r="F26" s="3"/>
      <c r="G26" s="3"/>
    </row>
    <row r="27" spans="1:7" ht="15.75" x14ac:dyDescent="0.25">
      <c r="A27" s="12" t="s">
        <v>248</v>
      </c>
      <c r="B27" s="13">
        <v>430120.09</v>
      </c>
      <c r="C27" s="9"/>
      <c r="D27" s="10"/>
      <c r="E27" s="3"/>
      <c r="F27" s="3"/>
      <c r="G27" s="3"/>
    </row>
    <row r="28" spans="1:7" ht="15.75" x14ac:dyDescent="0.25">
      <c r="A28" s="12" t="s">
        <v>249</v>
      </c>
      <c r="B28" s="14">
        <v>9097.23</v>
      </c>
      <c r="C28" s="9"/>
      <c r="D28" s="10"/>
      <c r="E28" s="3"/>
      <c r="F28" s="3"/>
      <c r="G28" s="3"/>
    </row>
    <row r="29" spans="1:7" ht="15.75" hidden="1" x14ac:dyDescent="0.25">
      <c r="A29" s="12" t="s">
        <v>250</v>
      </c>
      <c r="B29" s="11"/>
      <c r="C29" s="9"/>
      <c r="D29" s="10"/>
      <c r="E29" s="3"/>
      <c r="F29" s="3"/>
      <c r="G29" s="3"/>
    </row>
    <row r="30" spans="1:7" ht="15.75" x14ac:dyDescent="0.25">
      <c r="A30" s="196"/>
      <c r="B30" s="11"/>
      <c r="C30" s="9"/>
      <c r="D30" s="10"/>
      <c r="E30" s="3"/>
      <c r="F30" s="3"/>
      <c r="G30" s="3"/>
    </row>
    <row r="31" spans="1:7" ht="15.75" x14ac:dyDescent="0.25">
      <c r="A31" s="197" t="s">
        <v>251</v>
      </c>
      <c r="B31" s="11"/>
      <c r="C31" s="9"/>
      <c r="D31" s="10"/>
      <c r="E31" s="3"/>
      <c r="F31" s="3"/>
      <c r="G31" s="3"/>
    </row>
    <row r="32" spans="1:7" s="18" customFormat="1" ht="31.5" x14ac:dyDescent="0.25">
      <c r="A32" s="15" t="s">
        <v>252</v>
      </c>
      <c r="B32" s="121">
        <f>SUM(B33:B41)</f>
        <v>253184.78</v>
      </c>
      <c r="C32" s="9"/>
      <c r="D32" s="10"/>
      <c r="E32" s="17">
        <f>(B26+B24-B73)/1.2/1.03</f>
        <v>-49673.563887417906</v>
      </c>
      <c r="F32" s="17" t="e">
        <f>(#REF!+#REF!-#REF!)/1.2/1.03</f>
        <v>#REF!</v>
      </c>
      <c r="G32" s="17" t="e">
        <f>(#REF!+#REF!-#REF!)/1.2/1.03</f>
        <v>#REF!</v>
      </c>
    </row>
    <row r="33" spans="1:7" ht="15.75" x14ac:dyDescent="0.25">
      <c r="A33" s="19" t="s">
        <v>253</v>
      </c>
      <c r="B33" s="237">
        <v>225217.85</v>
      </c>
      <c r="C33" s="9"/>
      <c r="D33" s="10">
        <v>59669.81</v>
      </c>
      <c r="E33" s="3">
        <v>74.2</v>
      </c>
      <c r="F33" s="3"/>
      <c r="G33" s="3"/>
    </row>
    <row r="34" spans="1:7" ht="15.75" hidden="1" x14ac:dyDescent="0.25">
      <c r="A34" s="19" t="s">
        <v>254</v>
      </c>
      <c r="B34" s="8"/>
      <c r="C34" s="9"/>
      <c r="D34" s="10">
        <v>0</v>
      </c>
      <c r="E34" s="3">
        <v>1.8</v>
      </c>
      <c r="F34" s="3"/>
      <c r="G34" s="3"/>
    </row>
    <row r="35" spans="1:7" ht="15.75" x14ac:dyDescent="0.25">
      <c r="A35" s="19" t="s">
        <v>255</v>
      </c>
      <c r="B35" s="72">
        <v>27966.93</v>
      </c>
      <c r="C35" s="9"/>
      <c r="D35" s="10">
        <v>0</v>
      </c>
      <c r="E35" s="3">
        <v>10.1</v>
      </c>
      <c r="F35" s="3"/>
      <c r="G35" s="3"/>
    </row>
    <row r="36" spans="1:7" ht="15.75" hidden="1" x14ac:dyDescent="0.25">
      <c r="A36" s="91" t="s">
        <v>378</v>
      </c>
      <c r="B36" s="116"/>
      <c r="C36" s="9" t="s">
        <v>234</v>
      </c>
      <c r="D36" s="10">
        <v>0</v>
      </c>
      <c r="E36" s="3">
        <v>14.9</v>
      </c>
      <c r="F36" s="3"/>
      <c r="G36" s="3"/>
    </row>
    <row r="37" spans="1:7" ht="15.75" hidden="1" x14ac:dyDescent="0.25">
      <c r="A37" s="91" t="s">
        <v>363</v>
      </c>
      <c r="B37" s="116"/>
      <c r="C37" s="9"/>
      <c r="D37" s="10">
        <v>0</v>
      </c>
      <c r="E37" s="3">
        <v>9.6999999999999993</v>
      </c>
      <c r="F37" s="3"/>
      <c r="G37" s="3"/>
    </row>
    <row r="38" spans="1:7" ht="15.75" hidden="1" x14ac:dyDescent="0.25">
      <c r="A38" s="71" t="s">
        <v>368</v>
      </c>
      <c r="B38" s="117"/>
      <c r="C38" s="9"/>
      <c r="D38" s="10">
        <v>0</v>
      </c>
      <c r="E38" s="3">
        <v>5.6</v>
      </c>
      <c r="F38" s="3"/>
      <c r="G38" s="3"/>
    </row>
    <row r="39" spans="1:7" ht="15.75" hidden="1" x14ac:dyDescent="0.25">
      <c r="A39" s="20" t="s">
        <v>379</v>
      </c>
      <c r="B39" s="21"/>
      <c r="C39" s="9"/>
      <c r="D39" s="10">
        <v>0</v>
      </c>
      <c r="E39" s="3"/>
      <c r="F39" s="3"/>
      <c r="G39" s="3"/>
    </row>
    <row r="40" spans="1:7" ht="15.75" hidden="1" x14ac:dyDescent="0.25">
      <c r="A40" s="198" t="s">
        <v>380</v>
      </c>
      <c r="B40" s="173"/>
      <c r="C40" s="9"/>
      <c r="D40" s="10"/>
      <c r="E40" s="3"/>
      <c r="F40" s="3"/>
      <c r="G40" s="3"/>
    </row>
    <row r="41" spans="1:7" ht="15.75" hidden="1" x14ac:dyDescent="0.25">
      <c r="A41" s="20" t="s">
        <v>381</v>
      </c>
      <c r="B41" s="21"/>
      <c r="C41" s="9"/>
      <c r="D41" s="10"/>
      <c r="E41" s="3"/>
      <c r="F41" s="3"/>
      <c r="G41" s="3"/>
    </row>
    <row r="42" spans="1:7" s="18" customFormat="1" ht="47.25" x14ac:dyDescent="0.25">
      <c r="A42" s="15" t="s">
        <v>261</v>
      </c>
      <c r="B42" s="121">
        <f>SUM(B43:B45)</f>
        <v>105267.69999999998</v>
      </c>
      <c r="C42" s="9"/>
      <c r="D42" s="10"/>
      <c r="E42" s="17"/>
      <c r="F42" s="17"/>
      <c r="G42" s="17"/>
    </row>
    <row r="43" spans="1:7" ht="15.75" x14ac:dyDescent="0.25">
      <c r="A43" s="19" t="s">
        <v>262</v>
      </c>
      <c r="B43" s="11">
        <v>11487.42</v>
      </c>
      <c r="C43" s="23"/>
      <c r="D43" s="24"/>
      <c r="E43" s="3">
        <v>16.399999999999999</v>
      </c>
      <c r="F43" s="3"/>
      <c r="G43" s="3"/>
    </row>
    <row r="44" spans="1:7" ht="15.75" x14ac:dyDescent="0.25">
      <c r="A44" s="19" t="s">
        <v>263</v>
      </c>
      <c r="B44" s="11">
        <v>93780.279999999984</v>
      </c>
      <c r="C44" s="23"/>
      <c r="D44" s="24"/>
      <c r="E44" s="3">
        <v>11.2</v>
      </c>
      <c r="F44" s="3"/>
      <c r="G44" s="3"/>
    </row>
    <row r="45" spans="1:7" ht="15.75" hidden="1" x14ac:dyDescent="0.25">
      <c r="A45" s="25" t="s">
        <v>264</v>
      </c>
      <c r="B45" s="11"/>
      <c r="C45" s="23"/>
      <c r="D45" s="24"/>
      <c r="E45" s="3"/>
      <c r="F45" s="3"/>
      <c r="G45" s="3"/>
    </row>
    <row r="46" spans="1:7" s="4" customFormat="1" ht="15.75" x14ac:dyDescent="0.25">
      <c r="A46" s="15" t="s">
        <v>265</v>
      </c>
      <c r="B46" s="121">
        <f>SUM(B47:B54)</f>
        <v>452817.24000000005</v>
      </c>
      <c r="C46" s="9"/>
      <c r="D46" s="10"/>
    </row>
    <row r="47" spans="1:7" ht="15.75" x14ac:dyDescent="0.25">
      <c r="A47" s="19" t="s">
        <v>266</v>
      </c>
      <c r="B47" s="11">
        <v>5691.36</v>
      </c>
      <c r="C47" s="9"/>
      <c r="D47" s="10"/>
      <c r="E47" s="3" t="s">
        <v>267</v>
      </c>
      <c r="F47" s="3"/>
      <c r="G47" s="3"/>
    </row>
    <row r="48" spans="1:7" ht="15.75" x14ac:dyDescent="0.25">
      <c r="A48" s="19" t="s">
        <v>268</v>
      </c>
      <c r="B48" s="11">
        <v>6911.04</v>
      </c>
      <c r="C48" s="9"/>
      <c r="D48" s="10"/>
      <c r="E48" s="3" t="s">
        <v>269</v>
      </c>
      <c r="F48" s="3"/>
      <c r="G48" s="3"/>
    </row>
    <row r="49" spans="1:5" ht="15.75" x14ac:dyDescent="0.25">
      <c r="A49" s="26" t="s">
        <v>270</v>
      </c>
      <c r="B49" s="10">
        <v>353672.03</v>
      </c>
      <c r="C49" s="9">
        <v>6</v>
      </c>
      <c r="D49" s="10">
        <f>5395.4*2+4379.38*4</f>
        <v>28308.32</v>
      </c>
      <c r="E49" s="3"/>
    </row>
    <row r="50" spans="1:5" ht="15.75" x14ac:dyDescent="0.25">
      <c r="A50" s="26" t="s">
        <v>382</v>
      </c>
      <c r="B50" s="10">
        <v>29400</v>
      </c>
      <c r="C50" s="9">
        <v>4</v>
      </c>
      <c r="D50" s="10">
        <v>4190</v>
      </c>
      <c r="E50" s="3"/>
    </row>
    <row r="51" spans="1:5" ht="17.25" customHeight="1" x14ac:dyDescent="0.25">
      <c r="A51" s="110" t="s">
        <v>520</v>
      </c>
      <c r="B51" s="8">
        <v>4200</v>
      </c>
      <c r="C51" s="9"/>
      <c r="D51" s="10">
        <v>0</v>
      </c>
      <c r="E51" s="3"/>
    </row>
    <row r="52" spans="1:5" ht="15.75" x14ac:dyDescent="0.25">
      <c r="A52" s="19" t="s">
        <v>325</v>
      </c>
      <c r="B52" s="31">
        <v>41560.5</v>
      </c>
      <c r="C52" s="30">
        <v>1</v>
      </c>
      <c r="D52" s="10">
        <v>0</v>
      </c>
      <c r="E52" s="3"/>
    </row>
    <row r="53" spans="1:5" ht="15.75" x14ac:dyDescent="0.25">
      <c r="A53" s="19" t="s">
        <v>383</v>
      </c>
      <c r="B53" s="31">
        <v>8133.61</v>
      </c>
      <c r="C53" s="30">
        <v>225</v>
      </c>
      <c r="D53" s="10">
        <v>2</v>
      </c>
      <c r="E53" s="3">
        <v>0</v>
      </c>
    </row>
    <row r="54" spans="1:5" ht="15.75" x14ac:dyDescent="0.25">
      <c r="A54" s="19" t="s">
        <v>384</v>
      </c>
      <c r="B54" s="31">
        <f>1348.7+1900</f>
        <v>3248.7</v>
      </c>
      <c r="C54" s="32"/>
      <c r="D54" s="24">
        <v>0</v>
      </c>
      <c r="E54" s="3"/>
    </row>
    <row r="55" spans="1:5" s="4" customFormat="1" ht="15.75" x14ac:dyDescent="0.25">
      <c r="A55" s="33" t="s">
        <v>285</v>
      </c>
      <c r="B55" s="121">
        <f>SUM(B56:B61)</f>
        <v>750875.77688223997</v>
      </c>
      <c r="C55" s="23"/>
      <c r="D55" s="24"/>
    </row>
    <row r="56" spans="1:5" ht="15.75" x14ac:dyDescent="0.25">
      <c r="A56" s="19" t="s">
        <v>287</v>
      </c>
      <c r="B56" s="11">
        <f>186814*1.04*1.12*1.0742-123</f>
        <v>233623.93748224003</v>
      </c>
      <c r="C56" s="23"/>
      <c r="D56" s="24"/>
      <c r="E56" s="3"/>
    </row>
    <row r="57" spans="1:5" ht="15.75" hidden="1" x14ac:dyDescent="0.25">
      <c r="A57" s="25" t="s">
        <v>289</v>
      </c>
      <c r="B57" s="11"/>
      <c r="C57" s="23"/>
      <c r="D57" s="24"/>
      <c r="E57" s="3"/>
    </row>
    <row r="58" spans="1:5" ht="15.75" x14ac:dyDescent="0.25">
      <c r="A58" s="25" t="s">
        <v>290</v>
      </c>
      <c r="B58" s="8">
        <f>5.06*B15</f>
        <v>74796.92</v>
      </c>
      <c r="C58" s="23"/>
      <c r="D58" s="24"/>
      <c r="E58" s="3"/>
    </row>
    <row r="59" spans="1:5" ht="15.75" x14ac:dyDescent="0.25">
      <c r="A59" s="25" t="s">
        <v>291</v>
      </c>
      <c r="B59" s="8">
        <f>158963*1.0742</f>
        <v>170758.0546</v>
      </c>
      <c r="C59" s="23"/>
      <c r="D59" s="24"/>
      <c r="E59" s="3"/>
    </row>
    <row r="60" spans="1:5" ht="15.75" x14ac:dyDescent="0.25">
      <c r="A60" s="25" t="s">
        <v>292</v>
      </c>
      <c r="B60" s="8">
        <f>27412*1.0742</f>
        <v>29445.970400000002</v>
      </c>
      <c r="C60" s="23"/>
      <c r="D60" s="24"/>
      <c r="E60" s="3"/>
    </row>
    <row r="61" spans="1:5" ht="15.75" x14ac:dyDescent="0.25">
      <c r="A61" s="25" t="s">
        <v>293</v>
      </c>
      <c r="B61" s="8">
        <f>225632*1.0742-123</f>
        <v>242250.89440000002</v>
      </c>
      <c r="C61" s="23"/>
      <c r="D61" s="24"/>
      <c r="E61" s="3"/>
    </row>
    <row r="62" spans="1:5" ht="63" x14ac:dyDescent="0.25">
      <c r="A62" s="34" t="s">
        <v>294</v>
      </c>
      <c r="B62" s="121">
        <f>SUM(B63:B63)</f>
        <v>422679.28800000006</v>
      </c>
      <c r="C62" s="23"/>
      <c r="D62" s="24"/>
      <c r="E62" s="3"/>
    </row>
    <row r="63" spans="1:5" ht="15.75" x14ac:dyDescent="0.25">
      <c r="A63" s="25" t="s">
        <v>295</v>
      </c>
      <c r="B63" s="11">
        <f>372000*1.12*1.0142+123</f>
        <v>422679.28800000006</v>
      </c>
      <c r="C63" s="23">
        <f>B63/B15</f>
        <v>28.594188066567451</v>
      </c>
      <c r="D63" s="24"/>
      <c r="E63" s="3"/>
    </row>
    <row r="64" spans="1:5" s="4" customFormat="1" ht="15.75" x14ac:dyDescent="0.25">
      <c r="A64" s="33" t="s">
        <v>296</v>
      </c>
      <c r="B64" s="121">
        <f>SUM(B65:B68)</f>
        <v>536987.92140000011</v>
      </c>
      <c r="C64" s="23"/>
      <c r="D64" s="24"/>
    </row>
    <row r="65" spans="1:4" ht="15.75" x14ac:dyDescent="0.25">
      <c r="A65" s="35" t="s">
        <v>297</v>
      </c>
      <c r="B65" s="11">
        <f>319542*1.0542-123</f>
        <v>336738.1764</v>
      </c>
      <c r="C65" s="23"/>
      <c r="D65" s="24"/>
    </row>
    <row r="66" spans="1:4" ht="15" customHeight="1" x14ac:dyDescent="0.25">
      <c r="A66" s="35" t="s">
        <v>298</v>
      </c>
      <c r="B66" s="11">
        <f>B26/1.2*30%</f>
        <v>132910.41500000001</v>
      </c>
      <c r="C66" s="23"/>
      <c r="D66" s="24"/>
    </row>
    <row r="67" spans="1:4" ht="15.75" x14ac:dyDescent="0.25">
      <c r="A67" s="36" t="s">
        <v>299</v>
      </c>
      <c r="B67" s="8">
        <f>30048.3+19788.03</f>
        <v>49836.33</v>
      </c>
      <c r="C67" s="23"/>
      <c r="D67" s="24"/>
    </row>
    <row r="68" spans="1:4" ht="15.75" x14ac:dyDescent="0.25">
      <c r="A68" s="36" t="s">
        <v>300</v>
      </c>
      <c r="B68" s="11">
        <f>17526-23</f>
        <v>17503</v>
      </c>
      <c r="C68" s="23"/>
      <c r="D68" s="24"/>
    </row>
    <row r="69" spans="1:4" ht="15.75" x14ac:dyDescent="0.25">
      <c r="A69" s="37" t="s">
        <v>301</v>
      </c>
      <c r="B69" s="13">
        <f>B32+B42+B46+B55+B62+B64</f>
        <v>2521812.7062822403</v>
      </c>
      <c r="C69" s="23"/>
      <c r="D69" s="24"/>
    </row>
    <row r="70" spans="1:4" ht="15.75" x14ac:dyDescent="0.25">
      <c r="A70" s="199" t="s">
        <v>302</v>
      </c>
      <c r="B70" s="11">
        <f>B69*0.03</f>
        <v>75654.381188467203</v>
      </c>
      <c r="C70" s="23"/>
      <c r="D70" s="24"/>
    </row>
    <row r="71" spans="1:4" s="18" customFormat="1" ht="15.75" x14ac:dyDescent="0.25">
      <c r="A71" s="176" t="s">
        <v>303</v>
      </c>
      <c r="B71" s="121">
        <f>B69+B70</f>
        <v>2597467.0874707075</v>
      </c>
      <c r="C71" s="23"/>
      <c r="D71" s="24"/>
    </row>
    <row r="72" spans="1:4" ht="16.5" thickBot="1" x14ac:dyDescent="0.3">
      <c r="A72" s="177" t="s">
        <v>304</v>
      </c>
      <c r="B72" s="142">
        <f>B71*0.2</f>
        <v>519493.4174941415</v>
      </c>
      <c r="C72" s="23"/>
      <c r="D72" s="24"/>
    </row>
    <row r="73" spans="1:4" s="4" customFormat="1" ht="16.5" thickBot="1" x14ac:dyDescent="0.3">
      <c r="A73" s="38" t="s">
        <v>305</v>
      </c>
      <c r="B73" s="46">
        <f>B71+B72</f>
        <v>3116960.504964849</v>
      </c>
      <c r="C73" s="40"/>
      <c r="D73" s="41"/>
    </row>
    <row r="74" spans="1:4" s="4" customFormat="1" ht="16.5" thickBot="1" x14ac:dyDescent="0.3">
      <c r="A74" s="42" t="s">
        <v>306</v>
      </c>
      <c r="B74" s="46">
        <f>B10+B24+B26+B28+B29-B73</f>
        <v>4709274.0150351515</v>
      </c>
      <c r="C74" s="43"/>
      <c r="D74" s="43"/>
    </row>
    <row r="75" spans="1:4" s="4" customFormat="1" ht="16.5" hidden="1" thickBot="1" x14ac:dyDescent="0.3">
      <c r="A75" s="44" t="s">
        <v>307</v>
      </c>
      <c r="B75" s="46"/>
      <c r="C75" s="43"/>
      <c r="D75" s="43"/>
    </row>
    <row r="76" spans="1:4" s="4" customFormat="1" ht="16.5" hidden="1" thickBot="1" x14ac:dyDescent="0.3">
      <c r="A76" s="45" t="s">
        <v>308</v>
      </c>
      <c r="B76" s="46"/>
      <c r="C76" s="43"/>
      <c r="D76" s="43"/>
    </row>
    <row r="77" spans="1:4" s="4" customFormat="1" ht="15.75" x14ac:dyDescent="0.25">
      <c r="A77" s="47"/>
      <c r="B77" s="200"/>
      <c r="C77" s="43"/>
      <c r="D77" s="43"/>
    </row>
    <row r="78" spans="1:4" ht="15.75" x14ac:dyDescent="0.25">
      <c r="A78" s="49"/>
      <c r="B78" s="3"/>
      <c r="C78" s="3"/>
      <c r="D78" s="3"/>
    </row>
    <row r="79" spans="1:4" ht="15.75" x14ac:dyDescent="0.25">
      <c r="A79" s="267" t="s">
        <v>385</v>
      </c>
      <c r="B79" s="297"/>
      <c r="C79" s="3"/>
      <c r="D79" s="3"/>
    </row>
    <row r="80" spans="1:4" ht="15.75" x14ac:dyDescent="0.25">
      <c r="A80" s="49"/>
      <c r="B80" s="51"/>
      <c r="C80" s="3"/>
      <c r="D80" s="3"/>
    </row>
    <row r="81" spans="1:3" ht="15.75" x14ac:dyDescent="0.25">
      <c r="A81" s="268"/>
      <c r="B81" s="268"/>
      <c r="C81" s="51"/>
    </row>
    <row r="89" spans="1:3" ht="15.75" hidden="1" x14ac:dyDescent="0.25">
      <c r="A89" s="3"/>
      <c r="B89" s="50"/>
      <c r="C89" s="3"/>
    </row>
    <row r="90" spans="1:3" ht="15.75" x14ac:dyDescent="0.25">
      <c r="A90" s="3"/>
      <c r="B90" s="3"/>
      <c r="C90" s="3"/>
    </row>
  </sheetData>
  <autoFilter ref="A32:B76" xr:uid="{00000000-0009-0000-0000-00003D000000}">
    <filterColumn colId="1">
      <customFilters>
        <customFilter operator="notEqual" val=" "/>
      </customFilters>
    </filterColumn>
  </autoFilter>
  <mergeCells count="9">
    <mergeCell ref="D8:D9"/>
    <mergeCell ref="A79:B79"/>
    <mergeCell ref="A81:B81"/>
    <mergeCell ref="A1:B1"/>
    <mergeCell ref="A2:B2"/>
    <mergeCell ref="A3:B3"/>
    <mergeCell ref="A8:A9"/>
    <mergeCell ref="B8:B9"/>
    <mergeCell ref="C8:C9"/>
  </mergeCells>
  <phoneticPr fontId="43" type="noConversion"/>
  <pageMargins left="0.9055118110236221" right="0.9055118110236221" top="0.74803149606299213" bottom="0.74803149606299213" header="0.31496062992125984" footer="0.31496062992125984"/>
  <pageSetup paperSize="9" scale="74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filterMode="1">
    <pageSetUpPr fitToPage="1"/>
  </sheetPr>
  <dimension ref="A1:G90"/>
  <sheetViews>
    <sheetView view="pageBreakPreview" topLeftCell="A48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130</v>
      </c>
      <c r="B5" s="185"/>
      <c r="C5" s="3"/>
      <c r="D5" s="3"/>
    </row>
    <row r="6" spans="1:4" ht="5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71" t="s">
        <v>227</v>
      </c>
      <c r="B8" s="273" t="s">
        <v>228</v>
      </c>
      <c r="C8" s="265" t="s">
        <v>229</v>
      </c>
      <c r="D8" s="265" t="s">
        <v>230</v>
      </c>
    </row>
    <row r="9" spans="1:4" ht="13.5" thickBot="1" x14ac:dyDescent="0.25">
      <c r="A9" s="272"/>
      <c r="B9" s="274"/>
      <c r="C9" s="266"/>
      <c r="D9" s="266"/>
    </row>
    <row r="10" spans="1:4" ht="16.5" thickBot="1" x14ac:dyDescent="0.25">
      <c r="A10" s="187" t="s">
        <v>231</v>
      </c>
      <c r="B10" s="188">
        <f>VLOOKUP(A5,мкд!S:T,2,FALSE)</f>
        <v>163628.01</v>
      </c>
      <c r="C10" s="189"/>
      <c r="D10" s="189"/>
    </row>
    <row r="11" spans="1:4" ht="16.5" hidden="1" thickBot="1" x14ac:dyDescent="0.25">
      <c r="A11" s="190" t="s">
        <v>232</v>
      </c>
      <c r="B11" s="188"/>
      <c r="C11" s="191"/>
      <c r="D11" s="191"/>
    </row>
    <row r="12" spans="1:4" ht="15.75" x14ac:dyDescent="0.25">
      <c r="A12" s="192" t="s">
        <v>233</v>
      </c>
      <c r="B12" s="193"/>
      <c r="C12" s="5" t="s">
        <v>234</v>
      </c>
      <c r="D12" s="6" t="s">
        <v>234</v>
      </c>
    </row>
    <row r="13" spans="1:4" ht="15.75" hidden="1" x14ac:dyDescent="0.25">
      <c r="A13" s="7" t="s">
        <v>235</v>
      </c>
      <c r="B13" s="8">
        <v>1534.9</v>
      </c>
      <c r="C13" s="9" t="s">
        <v>234</v>
      </c>
      <c r="D13" s="10" t="s">
        <v>234</v>
      </c>
    </row>
    <row r="14" spans="1:4" ht="15.75" hidden="1" x14ac:dyDescent="0.25">
      <c r="A14" s="7" t="s">
        <v>236</v>
      </c>
      <c r="B14" s="8">
        <v>141.19999999999999</v>
      </c>
      <c r="C14" s="9"/>
      <c r="D14" s="10"/>
    </row>
    <row r="15" spans="1:4" ht="15.75" hidden="1" x14ac:dyDescent="0.25">
      <c r="A15" s="7" t="s">
        <v>237</v>
      </c>
      <c r="B15" s="8">
        <f>B13+B14</f>
        <v>1676.1000000000001</v>
      </c>
      <c r="C15" s="9"/>
      <c r="D15" s="10"/>
    </row>
    <row r="16" spans="1:4" ht="15.75" hidden="1" x14ac:dyDescent="0.25">
      <c r="A16" s="7" t="s">
        <v>238</v>
      </c>
      <c r="B16" s="8">
        <f>1186+558.3/3</f>
        <v>1372.1</v>
      </c>
      <c r="C16" s="9" t="s">
        <v>234</v>
      </c>
      <c r="D16" s="10" t="s">
        <v>234</v>
      </c>
    </row>
    <row r="17" spans="1:7" ht="15.75" hidden="1" x14ac:dyDescent="0.25">
      <c r="A17" s="7" t="s">
        <v>239</v>
      </c>
      <c r="B17" s="8">
        <v>0</v>
      </c>
      <c r="C17" s="9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7" t="s">
        <v>240</v>
      </c>
      <c r="B18" s="8">
        <v>458.9</v>
      </c>
      <c r="C18" s="9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7" t="s">
        <v>241</v>
      </c>
      <c r="B19" s="8">
        <v>0</v>
      </c>
      <c r="C19" s="9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7" t="s">
        <v>242</v>
      </c>
      <c r="B20" s="8">
        <v>504.8</v>
      </c>
      <c r="C20" s="9"/>
      <c r="D20" s="10"/>
      <c r="E20" s="3"/>
      <c r="F20" s="3"/>
      <c r="G20" s="3"/>
    </row>
    <row r="21" spans="1:7" ht="15.75" hidden="1" x14ac:dyDescent="0.25">
      <c r="A21" s="7" t="s">
        <v>243</v>
      </c>
      <c r="B21" s="8">
        <v>0</v>
      </c>
      <c r="C21" s="9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7" t="s">
        <v>244</v>
      </c>
      <c r="B22" s="8">
        <v>68</v>
      </c>
      <c r="C22" s="9"/>
      <c r="D22" s="10"/>
      <c r="E22" s="3"/>
      <c r="F22" s="3"/>
      <c r="G22" s="3"/>
    </row>
    <row r="23" spans="1:7" ht="15.75" x14ac:dyDescent="0.25">
      <c r="A23" s="7"/>
      <c r="B23" s="11"/>
      <c r="C23" s="9"/>
      <c r="D23" s="10"/>
      <c r="E23" s="3">
        <v>10</v>
      </c>
      <c r="F23" s="3">
        <v>2</v>
      </c>
      <c r="G23" s="3"/>
    </row>
    <row r="24" spans="1:7" ht="15.75" x14ac:dyDescent="0.25">
      <c r="A24" s="257" t="s">
        <v>245</v>
      </c>
      <c r="B24" s="255">
        <f>VLOOKUP(A5,мкд!W:X,2,FALSE)</f>
        <v>335651.98</v>
      </c>
      <c r="C24" s="9"/>
      <c r="D24" s="10"/>
      <c r="E24" s="194">
        <v>16.0800000248</v>
      </c>
      <c r="F24" s="195">
        <v>17.999952027761118</v>
      </c>
      <c r="G24" s="3"/>
    </row>
    <row r="25" spans="1:7" ht="15.75" x14ac:dyDescent="0.25">
      <c r="A25" s="12" t="s">
        <v>246</v>
      </c>
      <c r="B25" s="14">
        <f>VLOOKUP(A5,мкд!W:Y,3,FALSE)</f>
        <v>331958.26</v>
      </c>
      <c r="C25" s="9"/>
      <c r="D25" s="10"/>
      <c r="E25" s="3"/>
      <c r="F25" s="3"/>
      <c r="G25" s="3"/>
    </row>
    <row r="26" spans="1:7" ht="15.75" x14ac:dyDescent="0.25">
      <c r="A26" s="12" t="s">
        <v>247</v>
      </c>
      <c r="B26" s="13">
        <v>30688.41</v>
      </c>
      <c r="C26" s="9"/>
      <c r="D26" s="10"/>
      <c r="E26" s="3"/>
      <c r="F26" s="3"/>
      <c r="G26" s="3"/>
    </row>
    <row r="27" spans="1:7" ht="15.75" x14ac:dyDescent="0.25">
      <c r="A27" s="12" t="s">
        <v>248</v>
      </c>
      <c r="B27" s="13">
        <v>22874.400000000001</v>
      </c>
      <c r="C27" s="9"/>
      <c r="D27" s="10"/>
      <c r="E27" s="3"/>
      <c r="F27" s="3"/>
      <c r="G27" s="3"/>
    </row>
    <row r="28" spans="1:7" ht="15.75" x14ac:dyDescent="0.25">
      <c r="A28" s="12" t="s">
        <v>249</v>
      </c>
      <c r="B28" s="14">
        <v>9097.23</v>
      </c>
      <c r="C28" s="9"/>
      <c r="D28" s="10"/>
      <c r="E28" s="3"/>
      <c r="F28" s="3"/>
      <c r="G28" s="3"/>
    </row>
    <row r="29" spans="1:7" ht="15.75" hidden="1" x14ac:dyDescent="0.25">
      <c r="A29" s="12" t="s">
        <v>250</v>
      </c>
      <c r="B29" s="8"/>
      <c r="C29" s="9"/>
      <c r="D29" s="10"/>
      <c r="E29" s="3"/>
      <c r="F29" s="3"/>
      <c r="G29" s="3"/>
    </row>
    <row r="30" spans="1:7" ht="15.75" x14ac:dyDescent="0.25">
      <c r="A30" s="196"/>
      <c r="B30" s="11"/>
      <c r="C30" s="9"/>
      <c r="D30" s="10"/>
      <c r="E30" s="3"/>
      <c r="F30" s="3"/>
      <c r="G30" s="3"/>
    </row>
    <row r="31" spans="1:7" ht="15.75" x14ac:dyDescent="0.25">
      <c r="A31" s="197" t="s">
        <v>251</v>
      </c>
      <c r="B31" s="11"/>
      <c r="C31" s="9"/>
      <c r="D31" s="10"/>
      <c r="E31" s="3"/>
      <c r="F31" s="3"/>
      <c r="G31" s="3"/>
    </row>
    <row r="32" spans="1:7" s="18" customFormat="1" ht="31.5" x14ac:dyDescent="0.25">
      <c r="A32" s="15" t="s">
        <v>252</v>
      </c>
      <c r="B32" s="121">
        <f>SUM(B33:B41)</f>
        <v>83382.140000000014</v>
      </c>
      <c r="C32" s="9"/>
      <c r="D32" s="10"/>
      <c r="E32" s="17">
        <f>(B26+B24-B73)/1.2/1.03</f>
        <v>-110438.59719430166</v>
      </c>
      <c r="F32" s="17" t="e">
        <f>(#REF!+#REF!-#REF!)/1.2/1.03</f>
        <v>#REF!</v>
      </c>
      <c r="G32" s="17" t="e">
        <f>(#REF!+#REF!-#REF!)/1.2/1.03</f>
        <v>#REF!</v>
      </c>
    </row>
    <row r="33" spans="1:7" ht="15.75" x14ac:dyDescent="0.25">
      <c r="A33" s="19" t="s">
        <v>253</v>
      </c>
      <c r="B33" s="11">
        <v>80934.070000000007</v>
      </c>
      <c r="C33" s="9"/>
      <c r="D33" s="10">
        <v>14955.19</v>
      </c>
      <c r="E33" s="11">
        <v>14565.33</v>
      </c>
      <c r="F33" s="3"/>
      <c r="G33" s="3"/>
    </row>
    <row r="34" spans="1:7" ht="15.75" hidden="1" x14ac:dyDescent="0.25">
      <c r="A34" s="69" t="s">
        <v>256</v>
      </c>
      <c r="B34" s="116"/>
      <c r="C34" s="9"/>
      <c r="D34" s="10">
        <v>0</v>
      </c>
      <c r="E34" s="70">
        <f>25815.31+7991.1+14002.22</f>
        <v>47808.630000000005</v>
      </c>
      <c r="F34" s="3"/>
      <c r="G34" s="3"/>
    </row>
    <row r="35" spans="1:7" ht="15.75" hidden="1" x14ac:dyDescent="0.25">
      <c r="A35" s="91" t="s">
        <v>377</v>
      </c>
      <c r="B35" s="116"/>
      <c r="C35" s="9"/>
      <c r="D35" s="10">
        <v>0</v>
      </c>
      <c r="E35" s="70">
        <f>18631.71+10752.2</f>
        <v>29383.91</v>
      </c>
      <c r="F35" s="3"/>
      <c r="G35" s="3"/>
    </row>
    <row r="36" spans="1:7" ht="15.75" x14ac:dyDescent="0.25">
      <c r="A36" s="19" t="s">
        <v>256</v>
      </c>
      <c r="B36" s="11">
        <v>2448.0700000000002</v>
      </c>
      <c r="C36" s="9" t="s">
        <v>234</v>
      </c>
      <c r="D36" s="10">
        <v>0</v>
      </c>
      <c r="E36" s="3"/>
      <c r="F36" s="3"/>
      <c r="G36" s="3"/>
    </row>
    <row r="37" spans="1:7" ht="15.75" hidden="1" x14ac:dyDescent="0.25">
      <c r="A37" s="19" t="s">
        <v>257</v>
      </c>
      <c r="B37" s="11"/>
      <c r="C37" s="9"/>
      <c r="D37" s="10">
        <v>0</v>
      </c>
      <c r="E37" s="3"/>
      <c r="F37" s="3"/>
      <c r="G37" s="3"/>
    </row>
    <row r="38" spans="1:7" ht="15.75" hidden="1" x14ac:dyDescent="0.25">
      <c r="A38" s="19" t="s">
        <v>258</v>
      </c>
      <c r="B38" s="11">
        <v>0</v>
      </c>
      <c r="C38" s="9"/>
      <c r="D38" s="10">
        <v>0</v>
      </c>
      <c r="E38" s="3"/>
      <c r="F38" s="3"/>
      <c r="G38" s="3"/>
    </row>
    <row r="39" spans="1:7" ht="15.75" hidden="1" x14ac:dyDescent="0.25">
      <c r="A39" s="19" t="s">
        <v>259</v>
      </c>
      <c r="B39" s="11">
        <v>0</v>
      </c>
      <c r="C39" s="9"/>
      <c r="D39" s="10">
        <v>0</v>
      </c>
      <c r="E39" s="3"/>
      <c r="F39" s="3"/>
      <c r="G39" s="3"/>
    </row>
    <row r="40" spans="1:7" ht="15.75" hidden="1" x14ac:dyDescent="0.25">
      <c r="A40" s="19" t="s">
        <v>310</v>
      </c>
      <c r="B40" s="11">
        <v>0</v>
      </c>
      <c r="C40" s="9"/>
      <c r="D40" s="10"/>
      <c r="E40" s="3"/>
      <c r="F40" s="3"/>
      <c r="G40" s="3"/>
    </row>
    <row r="41" spans="1:7" ht="15.75" hidden="1" x14ac:dyDescent="0.25">
      <c r="A41" s="19" t="s">
        <v>311</v>
      </c>
      <c r="B41" s="11">
        <v>0</v>
      </c>
      <c r="C41" s="9"/>
      <c r="D41" s="10"/>
      <c r="E41" s="3"/>
      <c r="F41" s="3"/>
      <c r="G41" s="3"/>
    </row>
    <row r="42" spans="1:7" s="18" customFormat="1" ht="47.25" x14ac:dyDescent="0.25">
      <c r="A42" s="15" t="s">
        <v>261</v>
      </c>
      <c r="B42" s="121">
        <f>SUM(B43:B45)</f>
        <v>19716.451999999997</v>
      </c>
      <c r="C42" s="9"/>
      <c r="D42" s="10"/>
      <c r="E42" s="11">
        <v>14565.33</v>
      </c>
      <c r="F42" s="17"/>
      <c r="G42" s="17"/>
    </row>
    <row r="43" spans="1:7" ht="15.75" hidden="1" x14ac:dyDescent="0.25">
      <c r="A43" s="19" t="s">
        <v>262</v>
      </c>
      <c r="B43" s="11"/>
      <c r="C43" s="23"/>
      <c r="D43" s="24"/>
      <c r="E43" s="11">
        <f>25815.31+7991.1+14002.22</f>
        <v>47808.630000000005</v>
      </c>
      <c r="F43" s="3"/>
      <c r="G43" s="3"/>
    </row>
    <row r="44" spans="1:7" ht="15.75" x14ac:dyDescent="0.25">
      <c r="A44" s="19" t="s">
        <v>263</v>
      </c>
      <c r="B44" s="11">
        <v>9903.4599999999991</v>
      </c>
      <c r="C44" s="23"/>
      <c r="D44" s="24"/>
      <c r="E44" s="11">
        <f>18631.71+10752.2</f>
        <v>29383.91</v>
      </c>
      <c r="F44" s="3"/>
      <c r="G44" s="3"/>
    </row>
    <row r="45" spans="1:7" ht="15.75" x14ac:dyDescent="0.25">
      <c r="A45" s="25" t="s">
        <v>264</v>
      </c>
      <c r="B45" s="11">
        <f>8000*1.12*1.0952</f>
        <v>9812.9920000000002</v>
      </c>
      <c r="C45" s="23"/>
      <c r="D45" s="24"/>
      <c r="E45" s="3"/>
      <c r="F45" s="3"/>
      <c r="G45" s="3"/>
    </row>
    <row r="46" spans="1:7" s="4" customFormat="1" ht="15.75" x14ac:dyDescent="0.25">
      <c r="A46" s="15" t="s">
        <v>265</v>
      </c>
      <c r="B46" s="121">
        <f>SUM(B47:B52)</f>
        <v>10684.310000000001</v>
      </c>
      <c r="C46" s="9"/>
      <c r="D46" s="10"/>
    </row>
    <row r="47" spans="1:7" ht="15.75" x14ac:dyDescent="0.25">
      <c r="A47" s="19" t="s">
        <v>266</v>
      </c>
      <c r="B47" s="11">
        <v>1009.58</v>
      </c>
      <c r="C47" s="9"/>
      <c r="D47" s="10"/>
      <c r="E47" s="3" t="s">
        <v>267</v>
      </c>
      <c r="F47" s="3"/>
      <c r="G47" s="3"/>
    </row>
    <row r="48" spans="1:7" ht="15.75" x14ac:dyDescent="0.25">
      <c r="A48" s="19" t="s">
        <v>268</v>
      </c>
      <c r="B48" s="11">
        <v>2694.87</v>
      </c>
      <c r="C48" s="9"/>
      <c r="D48" s="10"/>
      <c r="E48" s="3" t="s">
        <v>269</v>
      </c>
      <c r="F48" s="3"/>
      <c r="G48" s="3"/>
    </row>
    <row r="49" spans="1:5" ht="15.75" x14ac:dyDescent="0.25">
      <c r="A49" s="26" t="s">
        <v>281</v>
      </c>
      <c r="B49" s="8">
        <v>493.26</v>
      </c>
      <c r="C49" s="9"/>
      <c r="D49" s="28"/>
      <c r="E49" s="3"/>
    </row>
    <row r="50" spans="1:5" ht="15.75" x14ac:dyDescent="0.25">
      <c r="A50" s="19" t="s">
        <v>325</v>
      </c>
      <c r="B50" s="29">
        <v>6486.6</v>
      </c>
      <c r="C50" s="30">
        <v>1</v>
      </c>
      <c r="D50" s="10">
        <v>0</v>
      </c>
      <c r="E50" s="3"/>
    </row>
    <row r="51" spans="1:5" ht="15.75" hidden="1" x14ac:dyDescent="0.25">
      <c r="A51" s="19" t="s">
        <v>283</v>
      </c>
      <c r="B51" s="31"/>
      <c r="C51" s="30">
        <v>20</v>
      </c>
      <c r="D51" s="10">
        <v>2</v>
      </c>
      <c r="E51" s="3">
        <v>0</v>
      </c>
    </row>
    <row r="52" spans="1:5" ht="15.75" hidden="1" x14ac:dyDescent="0.25">
      <c r="A52" s="19" t="s">
        <v>284</v>
      </c>
      <c r="B52" s="31">
        <v>0</v>
      </c>
      <c r="C52" s="32"/>
      <c r="D52" s="24">
        <v>0</v>
      </c>
      <c r="E52" s="3"/>
    </row>
    <row r="53" spans="1:5" s="4" customFormat="1" ht="15.75" x14ac:dyDescent="0.25">
      <c r="A53" s="33" t="s">
        <v>285</v>
      </c>
      <c r="B53" s="16">
        <f>SUM(B54:B61)</f>
        <v>138551.96478880002</v>
      </c>
      <c r="C53" s="23"/>
      <c r="D53" s="24"/>
    </row>
    <row r="54" spans="1:5" ht="15.75" hidden="1" x14ac:dyDescent="0.25">
      <c r="A54" s="19" t="s">
        <v>286</v>
      </c>
      <c r="B54" s="11">
        <v>0</v>
      </c>
      <c r="C54" s="23"/>
      <c r="D54" s="24"/>
      <c r="E54" s="3"/>
    </row>
    <row r="55" spans="1:5" ht="15.75" x14ac:dyDescent="0.25">
      <c r="A55" s="19" t="s">
        <v>287</v>
      </c>
      <c r="B55" s="8">
        <f>53326*1.04*1.12*1.056</f>
        <v>65592.51578880001</v>
      </c>
      <c r="C55" s="23">
        <f>B55/B16</f>
        <v>47.804471823336499</v>
      </c>
      <c r="D55" s="24"/>
      <c r="E55" s="3"/>
    </row>
    <row r="56" spans="1:5" ht="15.75" hidden="1" x14ac:dyDescent="0.25">
      <c r="A56" s="19" t="s">
        <v>288</v>
      </c>
      <c r="B56" s="11">
        <v>0</v>
      </c>
      <c r="C56" s="23"/>
      <c r="D56" s="24"/>
      <c r="E56" s="3"/>
    </row>
    <row r="57" spans="1:5" ht="15.75" x14ac:dyDescent="0.25">
      <c r="A57" s="25" t="s">
        <v>289</v>
      </c>
      <c r="B57" s="11">
        <f>1.35*B15</f>
        <v>2262.7350000000001</v>
      </c>
      <c r="C57" s="23"/>
      <c r="D57" s="24"/>
      <c r="E57" s="3"/>
    </row>
    <row r="58" spans="1:5" ht="15.75" x14ac:dyDescent="0.25">
      <c r="A58" s="25" t="s">
        <v>290</v>
      </c>
      <c r="B58" s="8">
        <f>5.06*B15</f>
        <v>8481.0660000000007</v>
      </c>
      <c r="C58" s="23"/>
      <c r="D58" s="24"/>
      <c r="E58" s="3"/>
    </row>
    <row r="59" spans="1:5" ht="15.75" x14ac:dyDescent="0.25">
      <c r="A59" s="25" t="s">
        <v>291</v>
      </c>
      <c r="B59" s="8">
        <f>17.68*B15</f>
        <v>29633.448</v>
      </c>
      <c r="C59" s="23"/>
      <c r="D59" s="24"/>
      <c r="E59" s="3"/>
    </row>
    <row r="60" spans="1:5" ht="15.75" x14ac:dyDescent="0.25">
      <c r="A60" s="25" t="s">
        <v>292</v>
      </c>
      <c r="B60" s="8">
        <f>3206*1.0952</f>
        <v>3511.2111999999997</v>
      </c>
      <c r="C60" s="23"/>
      <c r="D60" s="24"/>
      <c r="E60" s="3"/>
    </row>
    <row r="61" spans="1:5" ht="15.75" x14ac:dyDescent="0.25">
      <c r="A61" s="25" t="s">
        <v>293</v>
      </c>
      <c r="B61" s="8">
        <f>26544*1.0952</f>
        <v>29070.988799999999</v>
      </c>
      <c r="C61" s="23"/>
      <c r="D61" s="24"/>
      <c r="E61" s="3"/>
    </row>
    <row r="62" spans="1:5" ht="63" x14ac:dyDescent="0.25">
      <c r="A62" s="34" t="s">
        <v>294</v>
      </c>
      <c r="B62" s="121">
        <f>SUM(B63:B63)</f>
        <v>95676.672000000006</v>
      </c>
      <c r="C62" s="23"/>
      <c r="D62" s="24"/>
      <c r="E62" s="3"/>
    </row>
    <row r="63" spans="1:5" ht="15.75" x14ac:dyDescent="0.25">
      <c r="A63" s="25" t="s">
        <v>295</v>
      </c>
      <c r="B63" s="11">
        <f>78000*1.12*1.0952</f>
        <v>95676.672000000006</v>
      </c>
      <c r="C63" s="23"/>
      <c r="D63" s="24"/>
      <c r="E63" s="3"/>
    </row>
    <row r="64" spans="1:5" s="4" customFormat="1" ht="15.75" x14ac:dyDescent="0.25">
      <c r="A64" s="33" t="s">
        <v>296</v>
      </c>
      <c r="B64" s="121">
        <f>SUM(B65:B68)</f>
        <v>58818.959699999999</v>
      </c>
      <c r="C64" s="23"/>
      <c r="D64" s="24"/>
    </row>
    <row r="65" spans="1:4" ht="15.75" x14ac:dyDescent="0.25">
      <c r="A65" s="35" t="s">
        <v>297</v>
      </c>
      <c r="B65" s="11">
        <f>37211*1.0952</f>
        <v>40753.487199999996</v>
      </c>
      <c r="C65" s="23"/>
      <c r="D65" s="24"/>
    </row>
    <row r="66" spans="1:4" ht="15.75" x14ac:dyDescent="0.25">
      <c r="A66" s="35" t="s">
        <v>298</v>
      </c>
      <c r="B66" s="11">
        <f>(B26/1.2)*30%</f>
        <v>7672.1024999999991</v>
      </c>
      <c r="C66" s="23"/>
      <c r="D66" s="24"/>
    </row>
    <row r="67" spans="1:4" ht="15.75" x14ac:dyDescent="0.25">
      <c r="A67" s="36" t="s">
        <v>299</v>
      </c>
      <c r="B67" s="8">
        <f>3366.52+3002</f>
        <v>6368.52</v>
      </c>
      <c r="C67" s="23"/>
      <c r="D67" s="24"/>
    </row>
    <row r="68" spans="1:4" ht="15.75" x14ac:dyDescent="0.25">
      <c r="A68" s="36" t="s">
        <v>300</v>
      </c>
      <c r="B68" s="11">
        <f>3985*1.01</f>
        <v>4024.85</v>
      </c>
      <c r="C68" s="23"/>
      <c r="D68" s="24"/>
    </row>
    <row r="69" spans="1:4" ht="15.75" x14ac:dyDescent="0.25">
      <c r="A69" s="37" t="s">
        <v>301</v>
      </c>
      <c r="B69" s="13">
        <f>B32+B42+B46+B53+B62+B64</f>
        <v>406830.49848880002</v>
      </c>
      <c r="C69" s="23"/>
      <c r="D69" s="24"/>
    </row>
    <row r="70" spans="1:4" ht="15.75" x14ac:dyDescent="0.25">
      <c r="A70" s="199" t="s">
        <v>302</v>
      </c>
      <c r="B70" s="11">
        <f>B69*0.03</f>
        <v>12204.914954664</v>
      </c>
      <c r="C70" s="23"/>
      <c r="D70" s="24"/>
    </row>
    <row r="71" spans="1:4" s="18" customFormat="1" ht="15.75" x14ac:dyDescent="0.25">
      <c r="A71" s="176" t="s">
        <v>303</v>
      </c>
      <c r="B71" s="121">
        <f>B69+B70</f>
        <v>419035.41344346403</v>
      </c>
      <c r="C71" s="23"/>
      <c r="D71" s="24"/>
    </row>
    <row r="72" spans="1:4" ht="16.5" thickBot="1" x14ac:dyDescent="0.3">
      <c r="A72" s="177" t="s">
        <v>304</v>
      </c>
      <c r="B72" s="142">
        <f>B71*0.2</f>
        <v>83807.082688692812</v>
      </c>
      <c r="C72" s="23"/>
      <c r="D72" s="24"/>
    </row>
    <row r="73" spans="1:4" s="4" customFormat="1" ht="16.5" thickBot="1" x14ac:dyDescent="0.3">
      <c r="A73" s="38" t="s">
        <v>305</v>
      </c>
      <c r="B73" s="46">
        <f>B71+B72</f>
        <v>502842.49613215681</v>
      </c>
      <c r="C73" s="40"/>
      <c r="D73" s="41"/>
    </row>
    <row r="74" spans="1:4" s="4" customFormat="1" ht="16.5" thickBot="1" x14ac:dyDescent="0.3">
      <c r="A74" s="42" t="s">
        <v>306</v>
      </c>
      <c r="B74" s="46">
        <f>B10+B24+B26+B28+B29-B73</f>
        <v>36223.133867843193</v>
      </c>
      <c r="C74" s="43"/>
      <c r="D74" s="43"/>
    </row>
    <row r="75" spans="1:4" s="4" customFormat="1" ht="16.5" hidden="1" thickBot="1" x14ac:dyDescent="0.3">
      <c r="A75" s="44" t="s">
        <v>307</v>
      </c>
      <c r="B75" s="46"/>
      <c r="C75" s="43"/>
      <c r="D75" s="43"/>
    </row>
    <row r="76" spans="1:4" s="4" customFormat="1" ht="16.5" hidden="1" thickBot="1" x14ac:dyDescent="0.3">
      <c r="A76" s="45" t="s">
        <v>308</v>
      </c>
      <c r="B76" s="46"/>
      <c r="C76" s="43"/>
      <c r="D76" s="43"/>
    </row>
    <row r="77" spans="1:4" s="4" customFormat="1" ht="15.75" x14ac:dyDescent="0.25">
      <c r="A77" s="47"/>
      <c r="B77" s="200"/>
      <c r="C77" s="43"/>
      <c r="D77" s="43"/>
    </row>
    <row r="78" spans="1:4" ht="15.75" x14ac:dyDescent="0.25">
      <c r="A78" s="49"/>
      <c r="B78" s="3"/>
      <c r="C78" s="3"/>
      <c r="D78" s="3"/>
    </row>
    <row r="79" spans="1:4" ht="15.75" x14ac:dyDescent="0.25">
      <c r="A79" s="267" t="s">
        <v>540</v>
      </c>
      <c r="B79" s="297"/>
      <c r="C79" s="3"/>
      <c r="D79" s="3"/>
    </row>
    <row r="80" spans="1:4" ht="15.75" x14ac:dyDescent="0.25">
      <c r="A80" s="49"/>
      <c r="B80" s="51"/>
      <c r="C80" s="3"/>
      <c r="D80" s="3"/>
    </row>
    <row r="81" spans="1:3" ht="15.75" x14ac:dyDescent="0.25">
      <c r="A81" s="268"/>
      <c r="B81" s="268"/>
      <c r="C81" s="51"/>
    </row>
    <row r="89" spans="1:3" ht="15.75" hidden="1" x14ac:dyDescent="0.25">
      <c r="A89" s="3"/>
      <c r="B89" s="50"/>
      <c r="C89" s="3"/>
    </row>
    <row r="90" spans="1:3" ht="15.75" x14ac:dyDescent="0.25">
      <c r="A90" s="3"/>
      <c r="B90" s="3"/>
      <c r="C90" s="3"/>
    </row>
  </sheetData>
  <autoFilter ref="A32:B76" xr:uid="{00000000-0009-0000-0000-00003E000000}">
    <filterColumn colId="1">
      <filters>
        <filter val="1 009,58"/>
        <filter val="10 684,31"/>
        <filter val="12 204,91"/>
        <filter val="138 551,96"/>
        <filter val="19 716,45"/>
        <filter val="2 262,74"/>
        <filter val="2 448,07"/>
        <filter val="2 694,87"/>
        <filter val="29 070,99"/>
        <filter val="29 633,45"/>
        <filter val="3 511,21"/>
        <filter val="36 223,13"/>
        <filter val="4 024,85"/>
        <filter val="40 753,49"/>
        <filter val="406 830,50"/>
        <filter val="419 035,41"/>
        <filter val="493,26"/>
        <filter val="502 842,50"/>
        <filter val="58 818,96"/>
        <filter val="6 368,52"/>
        <filter val="6 486,60"/>
        <filter val="65 592,52"/>
        <filter val="7 672,10"/>
        <filter val="8 481,07"/>
        <filter val="80 934,07"/>
        <filter val="83 807,08"/>
        <filter val="9 812,99"/>
        <filter val="9 903,46"/>
        <filter val="95 676,67"/>
      </filters>
    </filterColumn>
  </autoFilter>
  <mergeCells count="9">
    <mergeCell ref="D8:D9"/>
    <mergeCell ref="A79:B79"/>
    <mergeCell ref="A81:B81"/>
    <mergeCell ref="A1:B1"/>
    <mergeCell ref="A2:B2"/>
    <mergeCell ref="A3:B3"/>
    <mergeCell ref="A8:A9"/>
    <mergeCell ref="B8:B9"/>
    <mergeCell ref="C8:C9"/>
  </mergeCells>
  <phoneticPr fontId="43" type="noConversion"/>
  <pageMargins left="0.9055118110236221" right="0.9055118110236221" top="0.74803149606299213" bottom="0.74803149606299213" header="0.31496062992125984" footer="0.31496062992125984"/>
  <pageSetup paperSize="9" scale="78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filterMode="1">
    <pageSetUpPr fitToPage="1"/>
  </sheetPr>
  <dimension ref="A1:G94"/>
  <sheetViews>
    <sheetView view="pageBreakPreview" topLeftCell="A53" zoomScale="80" zoomScaleNormal="100" zoomScaleSheetLayoutView="80" workbookViewId="0">
      <selection activeCell="A24" sqref="A24:B24"/>
    </sheetView>
  </sheetViews>
  <sheetFormatPr defaultRowHeight="15.75" x14ac:dyDescent="0.25"/>
  <cols>
    <col min="1" max="1" width="91.5703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269" t="s">
        <v>224</v>
      </c>
      <c r="B1" s="269"/>
    </row>
    <row r="2" spans="1:4" ht="16.5" x14ac:dyDescent="0.25">
      <c r="A2" s="270" t="s">
        <v>225</v>
      </c>
      <c r="B2" s="270"/>
    </row>
    <row r="3" spans="1:4" ht="16.5" x14ac:dyDescent="0.25">
      <c r="A3" s="270" t="s">
        <v>226</v>
      </c>
      <c r="B3" s="270"/>
    </row>
    <row r="4" spans="1:4" x14ac:dyDescent="0.25">
      <c r="A4" s="184" t="s">
        <v>494</v>
      </c>
      <c r="B4" s="184"/>
    </row>
    <row r="5" spans="1:4" x14ac:dyDescent="0.25">
      <c r="A5" s="184" t="s">
        <v>131</v>
      </c>
      <c r="B5" s="185"/>
    </row>
    <row r="6" spans="1:4" ht="5.25" customHeight="1" x14ac:dyDescent="0.25">
      <c r="A6" s="184"/>
      <c r="B6" s="4"/>
      <c r="C6" s="4"/>
    </row>
    <row r="7" spans="1:4" ht="16.5" thickBot="1" x14ac:dyDescent="0.3">
      <c r="A7" s="186"/>
      <c r="B7" s="4"/>
      <c r="C7" s="4"/>
    </row>
    <row r="8" spans="1:4" ht="15.75" customHeight="1" x14ac:dyDescent="0.25">
      <c r="A8" s="271" t="s">
        <v>227</v>
      </c>
      <c r="B8" s="273" t="s">
        <v>228</v>
      </c>
      <c r="C8" s="265" t="s">
        <v>229</v>
      </c>
      <c r="D8" s="265" t="s">
        <v>230</v>
      </c>
    </row>
    <row r="9" spans="1:4" ht="16.5" thickBot="1" x14ac:dyDescent="0.3">
      <c r="A9" s="272"/>
      <c r="B9" s="274"/>
      <c r="C9" s="266"/>
      <c r="D9" s="266"/>
    </row>
    <row r="10" spans="1:4" ht="16.5" thickBot="1" x14ac:dyDescent="0.3">
      <c r="A10" s="187" t="s">
        <v>231</v>
      </c>
      <c r="B10" s="188">
        <f>VLOOKUP(A5,мкд!S:T,2,FALSE)</f>
        <v>299140.09999999998</v>
      </c>
      <c r="C10" s="189"/>
      <c r="D10" s="189"/>
    </row>
    <row r="11" spans="1:4" ht="16.5" hidden="1" thickBot="1" x14ac:dyDescent="0.3">
      <c r="A11" s="190" t="s">
        <v>232</v>
      </c>
      <c r="B11" s="188"/>
      <c r="C11" s="191"/>
      <c r="D11" s="191"/>
    </row>
    <row r="12" spans="1:4" x14ac:dyDescent="0.25">
      <c r="A12" s="192" t="s">
        <v>233</v>
      </c>
      <c r="B12" s="193"/>
      <c r="C12" s="5" t="s">
        <v>234</v>
      </c>
      <c r="D12" s="6" t="s">
        <v>234</v>
      </c>
    </row>
    <row r="13" spans="1:4" hidden="1" x14ac:dyDescent="0.25">
      <c r="A13" s="107" t="s">
        <v>235</v>
      </c>
      <c r="B13" s="8">
        <v>4106.6000000000004</v>
      </c>
      <c r="C13" s="9" t="s">
        <v>234</v>
      </c>
      <c r="D13" s="10" t="s">
        <v>234</v>
      </c>
    </row>
    <row r="14" spans="1:4" hidden="1" x14ac:dyDescent="0.25">
      <c r="A14" s="7" t="s">
        <v>236</v>
      </c>
      <c r="B14" s="11">
        <v>0</v>
      </c>
      <c r="C14" s="9"/>
      <c r="D14" s="10"/>
    </row>
    <row r="15" spans="1:4" hidden="1" x14ac:dyDescent="0.25">
      <c r="A15" s="107" t="s">
        <v>237</v>
      </c>
      <c r="B15" s="8">
        <f>B13+B14</f>
        <v>4106.6000000000004</v>
      </c>
      <c r="C15" s="9"/>
      <c r="D15" s="10"/>
    </row>
    <row r="16" spans="1:4" hidden="1" x14ac:dyDescent="0.25">
      <c r="A16" s="107" t="s">
        <v>238</v>
      </c>
      <c r="B16" s="8">
        <f>3155.25+2109.62/3</f>
        <v>3858.4566666666665</v>
      </c>
      <c r="C16" s="9" t="s">
        <v>234</v>
      </c>
      <c r="D16" s="10" t="s">
        <v>234</v>
      </c>
    </row>
    <row r="17" spans="1:7" hidden="1" x14ac:dyDescent="0.25">
      <c r="A17" s="7" t="s">
        <v>239</v>
      </c>
      <c r="B17" s="11">
        <v>0</v>
      </c>
      <c r="C17" s="9" t="s">
        <v>234</v>
      </c>
      <c r="D17" s="10" t="s">
        <v>234</v>
      </c>
    </row>
    <row r="18" spans="1:7" hidden="1" x14ac:dyDescent="0.25">
      <c r="A18" s="107" t="s">
        <v>240</v>
      </c>
      <c r="B18" s="8">
        <v>400.5</v>
      </c>
      <c r="C18" s="9" t="s">
        <v>234</v>
      </c>
      <c r="D18" s="10" t="s">
        <v>234</v>
      </c>
    </row>
    <row r="19" spans="1:7" hidden="1" x14ac:dyDescent="0.25">
      <c r="A19" s="107" t="s">
        <v>241</v>
      </c>
      <c r="B19" s="8">
        <v>525</v>
      </c>
      <c r="C19" s="9" t="s">
        <v>234</v>
      </c>
      <c r="D19" s="10" t="s">
        <v>234</v>
      </c>
    </row>
    <row r="20" spans="1:7" hidden="1" x14ac:dyDescent="0.25">
      <c r="A20" s="107" t="s">
        <v>242</v>
      </c>
      <c r="B20" s="8">
        <v>570.1</v>
      </c>
      <c r="C20" s="9"/>
      <c r="D20" s="10"/>
    </row>
    <row r="21" spans="1:7" hidden="1" x14ac:dyDescent="0.25">
      <c r="A21" s="107" t="s">
        <v>243</v>
      </c>
      <c r="B21" s="8">
        <v>2</v>
      </c>
      <c r="C21" s="9" t="s">
        <v>234</v>
      </c>
      <c r="D21" s="10" t="s">
        <v>234</v>
      </c>
    </row>
    <row r="22" spans="1:7" hidden="1" x14ac:dyDescent="0.25">
      <c r="A22" s="107" t="s">
        <v>244</v>
      </c>
      <c r="B22" s="8">
        <v>188</v>
      </c>
      <c r="C22" s="9"/>
      <c r="D22" s="10"/>
    </row>
    <row r="23" spans="1:7" x14ac:dyDescent="0.25">
      <c r="A23" s="7"/>
      <c r="B23" s="11"/>
      <c r="C23" s="9"/>
      <c r="D23" s="10"/>
      <c r="E23" s="3">
        <v>12</v>
      </c>
    </row>
    <row r="24" spans="1:7" x14ac:dyDescent="0.25">
      <c r="A24" s="257" t="s">
        <v>245</v>
      </c>
      <c r="B24" s="255">
        <f>VLOOKUP(A5,мкд!W:X,2,FALSE)</f>
        <v>1147410.3800000001</v>
      </c>
      <c r="C24" s="9"/>
      <c r="D24" s="10"/>
      <c r="E24" s="194">
        <v>23</v>
      </c>
    </row>
    <row r="25" spans="1:7" x14ac:dyDescent="0.25">
      <c r="A25" s="12" t="s">
        <v>246</v>
      </c>
      <c r="B25" s="14">
        <f>VLOOKUP(A5,мкд!W:Y,3,FALSE)</f>
        <v>1101327.3900000001</v>
      </c>
      <c r="C25" s="9"/>
      <c r="D25" s="10"/>
    </row>
    <row r="26" spans="1:7" x14ac:dyDescent="0.25">
      <c r="A26" s="12" t="s">
        <v>247</v>
      </c>
      <c r="B26" s="13">
        <v>1777.34</v>
      </c>
      <c r="C26" s="9"/>
      <c r="D26" s="10"/>
    </row>
    <row r="27" spans="1:7" hidden="1" x14ac:dyDescent="0.25">
      <c r="A27" s="12" t="s">
        <v>248</v>
      </c>
      <c r="B27" s="13"/>
      <c r="C27" s="9"/>
      <c r="D27" s="10"/>
    </row>
    <row r="28" spans="1:7" x14ac:dyDescent="0.25">
      <c r="A28" s="12" t="s">
        <v>249</v>
      </c>
      <c r="B28" s="14">
        <v>9097.23</v>
      </c>
      <c r="C28" s="9"/>
      <c r="D28" s="10"/>
    </row>
    <row r="29" spans="1:7" hidden="1" x14ac:dyDescent="0.25">
      <c r="A29" s="12" t="s">
        <v>250</v>
      </c>
      <c r="B29" s="14"/>
      <c r="C29" s="9"/>
      <c r="D29" s="10"/>
    </row>
    <row r="30" spans="1:7" x14ac:dyDescent="0.25">
      <c r="A30" s="196"/>
      <c r="B30" s="11"/>
      <c r="C30" s="9"/>
      <c r="D30" s="10"/>
    </row>
    <row r="31" spans="1:7" x14ac:dyDescent="0.25">
      <c r="A31" s="197" t="s">
        <v>251</v>
      </c>
      <c r="B31" s="11"/>
      <c r="C31" s="9"/>
      <c r="D31" s="10"/>
    </row>
    <row r="32" spans="1:7" s="18" customFormat="1" ht="31.5" x14ac:dyDescent="0.25">
      <c r="A32" s="15" t="s">
        <v>252</v>
      </c>
      <c r="B32" s="121">
        <f>SUM(B33:B41)</f>
        <v>70895.960000000006</v>
      </c>
      <c r="C32" s="9"/>
      <c r="D32" s="10"/>
      <c r="E32" s="17">
        <f>(B24-B86)/1.2/1.03</f>
        <v>-133980.50403818779</v>
      </c>
      <c r="F32" s="17" t="e">
        <f>(#REF!-#REF!)/1.2/1.03</f>
        <v>#REF!</v>
      </c>
      <c r="G32" s="17" t="e">
        <f>(#REF!-#REF!)/1.2/1.03</f>
        <v>#REF!</v>
      </c>
    </row>
    <row r="33" spans="1:7" x14ac:dyDescent="0.25">
      <c r="A33" s="19" t="s">
        <v>253</v>
      </c>
      <c r="B33" s="11">
        <v>70895.960000000006</v>
      </c>
      <c r="C33" s="9"/>
      <c r="D33" s="10">
        <v>33930.89</v>
      </c>
    </row>
    <row r="34" spans="1:7" hidden="1" x14ac:dyDescent="0.25">
      <c r="A34" s="120" t="s">
        <v>255</v>
      </c>
      <c r="B34" s="92"/>
      <c r="C34" s="9"/>
      <c r="D34" s="10">
        <v>0</v>
      </c>
    </row>
    <row r="35" spans="1:7" hidden="1" x14ac:dyDescent="0.25">
      <c r="A35" s="120" t="s">
        <v>309</v>
      </c>
      <c r="B35" s="92"/>
      <c r="C35" s="9"/>
      <c r="D35" s="10">
        <v>0</v>
      </c>
    </row>
    <row r="36" spans="1:7" hidden="1" x14ac:dyDescent="0.25">
      <c r="A36" s="120" t="s">
        <v>372</v>
      </c>
      <c r="B36" s="92"/>
      <c r="C36" s="9" t="s">
        <v>234</v>
      </c>
      <c r="D36" s="10">
        <v>0</v>
      </c>
    </row>
    <row r="37" spans="1:7" hidden="1" x14ac:dyDescent="0.25">
      <c r="A37" s="71" t="s">
        <v>362</v>
      </c>
      <c r="B37" s="118"/>
      <c r="C37" s="9"/>
      <c r="D37" s="10">
        <v>0</v>
      </c>
    </row>
    <row r="38" spans="1:7" hidden="1" x14ac:dyDescent="0.25">
      <c r="A38" s="19" t="s">
        <v>258</v>
      </c>
      <c r="B38" s="11">
        <v>0</v>
      </c>
      <c r="C38" s="9"/>
      <c r="D38" s="10">
        <v>0</v>
      </c>
    </row>
    <row r="39" spans="1:7" hidden="1" x14ac:dyDescent="0.25">
      <c r="A39" s="19" t="s">
        <v>259</v>
      </c>
      <c r="B39" s="11">
        <v>0</v>
      </c>
      <c r="C39" s="9"/>
      <c r="D39" s="10">
        <v>0</v>
      </c>
    </row>
    <row r="40" spans="1:7" hidden="1" x14ac:dyDescent="0.25">
      <c r="A40" s="19" t="s">
        <v>310</v>
      </c>
      <c r="B40" s="11">
        <v>0</v>
      </c>
      <c r="C40" s="9"/>
      <c r="D40" s="10"/>
    </row>
    <row r="41" spans="1:7" hidden="1" x14ac:dyDescent="0.25">
      <c r="A41" s="19" t="s">
        <v>311</v>
      </c>
      <c r="B41" s="11">
        <v>0</v>
      </c>
      <c r="C41" s="9"/>
      <c r="D41" s="10"/>
    </row>
    <row r="42" spans="1:7" s="18" customFormat="1" ht="47.25" x14ac:dyDescent="0.25">
      <c r="A42" s="15" t="s">
        <v>261</v>
      </c>
      <c r="B42" s="121">
        <f>SUM(B43:B45)</f>
        <v>119701.24800000001</v>
      </c>
      <c r="C42" s="9"/>
      <c r="D42" s="10"/>
      <c r="E42" s="17"/>
      <c r="F42" s="17"/>
      <c r="G42" s="17"/>
    </row>
    <row r="43" spans="1:7" hidden="1" x14ac:dyDescent="0.25">
      <c r="A43" s="19" t="s">
        <v>262</v>
      </c>
      <c r="B43" s="11"/>
      <c r="C43" s="23"/>
      <c r="D43" s="24"/>
    </row>
    <row r="44" spans="1:7" x14ac:dyDescent="0.25">
      <c r="A44" s="19" t="s">
        <v>263</v>
      </c>
      <c r="B44" s="11">
        <v>92715.520000000004</v>
      </c>
      <c r="C44" s="23"/>
      <c r="D44" s="24"/>
    </row>
    <row r="45" spans="1:7" x14ac:dyDescent="0.25">
      <c r="A45" s="25" t="s">
        <v>264</v>
      </c>
      <c r="B45" s="11">
        <f>22000*1.12*1.0952</f>
        <v>26985.728000000003</v>
      </c>
      <c r="C45" s="23"/>
      <c r="D45" s="24"/>
    </row>
    <row r="46" spans="1:7" s="4" customFormat="1" x14ac:dyDescent="0.25">
      <c r="A46" s="15" t="s">
        <v>265</v>
      </c>
      <c r="B46" s="121">
        <f>SUM(B47:B65)</f>
        <v>224239.27999999997</v>
      </c>
      <c r="C46" s="9"/>
      <c r="D46" s="10"/>
    </row>
    <row r="47" spans="1:7" x14ac:dyDescent="0.25">
      <c r="A47" s="19" t="s">
        <v>266</v>
      </c>
      <c r="B47" s="11">
        <v>1682.04</v>
      </c>
      <c r="C47" s="9"/>
      <c r="D47" s="10"/>
      <c r="E47" s="3" t="s">
        <v>267</v>
      </c>
    </row>
    <row r="48" spans="1:7" x14ac:dyDescent="0.25">
      <c r="A48" s="19" t="s">
        <v>268</v>
      </c>
      <c r="B48" s="11">
        <v>2042.58</v>
      </c>
      <c r="C48" s="9"/>
      <c r="D48" s="10"/>
      <c r="E48" s="3" t="s">
        <v>269</v>
      </c>
    </row>
    <row r="49" spans="1:5" x14ac:dyDescent="0.25">
      <c r="A49" s="111" t="s">
        <v>270</v>
      </c>
      <c r="B49" s="27">
        <v>156441.60000000001</v>
      </c>
      <c r="C49" s="9">
        <v>2</v>
      </c>
      <c r="D49" s="10">
        <f>9064.27+6972.52</f>
        <v>16036.79</v>
      </c>
    </row>
    <row r="50" spans="1:5" x14ac:dyDescent="0.25">
      <c r="A50" s="111" t="s">
        <v>271</v>
      </c>
      <c r="B50" s="27">
        <v>9800</v>
      </c>
      <c r="C50" s="9">
        <v>2</v>
      </c>
      <c r="D50" s="10">
        <v>4190</v>
      </c>
    </row>
    <row r="51" spans="1:5" hidden="1" x14ac:dyDescent="0.25">
      <c r="A51" s="26" t="s">
        <v>272</v>
      </c>
      <c r="B51" s="10">
        <v>0</v>
      </c>
      <c r="C51" s="9">
        <v>2</v>
      </c>
      <c r="D51" s="10">
        <v>0</v>
      </c>
    </row>
    <row r="52" spans="1:5" hidden="1" x14ac:dyDescent="0.25">
      <c r="A52" s="26" t="s">
        <v>344</v>
      </c>
      <c r="B52" s="27"/>
      <c r="C52" s="9">
        <v>2</v>
      </c>
      <c r="D52" s="10">
        <v>105.14</v>
      </c>
    </row>
    <row r="53" spans="1:5" ht="15.75" customHeight="1" x14ac:dyDescent="0.25">
      <c r="A53" s="26" t="s">
        <v>520</v>
      </c>
      <c r="B53" s="8">
        <v>4200</v>
      </c>
      <c r="C53" s="9">
        <v>0</v>
      </c>
      <c r="D53" s="10">
        <v>522.99</v>
      </c>
    </row>
    <row r="54" spans="1:5" x14ac:dyDescent="0.25">
      <c r="A54" s="111" t="s">
        <v>275</v>
      </c>
      <c r="B54" s="8">
        <v>8133.61</v>
      </c>
      <c r="C54" s="9">
        <v>1</v>
      </c>
      <c r="D54" s="28">
        <v>700.55</v>
      </c>
    </row>
    <row r="55" spans="1:5" hidden="1" x14ac:dyDescent="0.25">
      <c r="A55" s="111" t="s">
        <v>344</v>
      </c>
      <c r="B55" s="8">
        <v>0</v>
      </c>
      <c r="C55" s="9"/>
      <c r="D55" s="28"/>
    </row>
    <row r="56" spans="1:5" hidden="1" x14ac:dyDescent="0.25">
      <c r="A56" s="110" t="s">
        <v>374</v>
      </c>
      <c r="B56" s="8">
        <v>0</v>
      </c>
      <c r="C56" s="9">
        <v>0</v>
      </c>
      <c r="D56" s="10">
        <f>10695.76/1.18</f>
        <v>9064.203389830509</v>
      </c>
    </row>
    <row r="57" spans="1:5" hidden="1" x14ac:dyDescent="0.25">
      <c r="A57" s="26" t="s">
        <v>312</v>
      </c>
      <c r="B57" s="11">
        <v>0</v>
      </c>
      <c r="C57" s="9">
        <v>0</v>
      </c>
      <c r="D57" s="10">
        <f>2300/1.18</f>
        <v>1949.1525423728815</v>
      </c>
    </row>
    <row r="58" spans="1:5" hidden="1" x14ac:dyDescent="0.25">
      <c r="A58" s="26" t="s">
        <v>314</v>
      </c>
      <c r="B58" s="8"/>
      <c r="C58" s="9">
        <v>70</v>
      </c>
      <c r="D58" s="10">
        <v>44.62</v>
      </c>
    </row>
    <row r="59" spans="1:5" x14ac:dyDescent="0.25">
      <c r="A59" s="111" t="s">
        <v>281</v>
      </c>
      <c r="B59" s="8">
        <f>840+21600+528.05</f>
        <v>22968.05</v>
      </c>
      <c r="C59" s="9"/>
      <c r="D59" s="10"/>
    </row>
    <row r="60" spans="1:5" hidden="1" x14ac:dyDescent="0.25">
      <c r="A60" s="19" t="s">
        <v>279</v>
      </c>
      <c r="B60" s="11">
        <v>0</v>
      </c>
      <c r="C60" s="9"/>
      <c r="D60" s="10"/>
    </row>
    <row r="61" spans="1:5" hidden="1" x14ac:dyDescent="0.25">
      <c r="A61" s="19" t="s">
        <v>280</v>
      </c>
      <c r="B61" s="11">
        <v>0</v>
      </c>
      <c r="C61" s="9"/>
      <c r="D61" s="10">
        <v>0</v>
      </c>
    </row>
    <row r="62" spans="1:5" hidden="1" x14ac:dyDescent="0.25">
      <c r="A62" s="19" t="s">
        <v>336</v>
      </c>
      <c r="B62" s="11">
        <v>0</v>
      </c>
      <c r="C62" s="9"/>
      <c r="D62" s="10">
        <v>0</v>
      </c>
    </row>
    <row r="63" spans="1:5" hidden="1" x14ac:dyDescent="0.25">
      <c r="A63" s="19" t="s">
        <v>325</v>
      </c>
      <c r="B63" s="31">
        <v>0</v>
      </c>
      <c r="C63" s="30">
        <v>1</v>
      </c>
      <c r="D63" s="10">
        <v>0</v>
      </c>
    </row>
    <row r="64" spans="1:5" hidden="1" x14ac:dyDescent="0.25">
      <c r="A64" s="19" t="s">
        <v>375</v>
      </c>
      <c r="B64" s="31"/>
      <c r="C64" s="30">
        <v>70</v>
      </c>
      <c r="D64" s="10">
        <v>2</v>
      </c>
      <c r="E64" s="3">
        <v>0</v>
      </c>
    </row>
    <row r="65" spans="1:4" x14ac:dyDescent="0.25">
      <c r="A65" s="19" t="s">
        <v>376</v>
      </c>
      <c r="B65" s="31">
        <v>18971.400000000001</v>
      </c>
      <c r="C65" s="32"/>
      <c r="D65" s="24">
        <v>0</v>
      </c>
    </row>
    <row r="66" spans="1:4" s="4" customFormat="1" x14ac:dyDescent="0.25">
      <c r="A66" s="33" t="s">
        <v>285</v>
      </c>
      <c r="B66" s="121">
        <f>SUM(B67:B74)</f>
        <v>360790.89720000001</v>
      </c>
      <c r="C66" s="23"/>
      <c r="D66" s="24"/>
    </row>
    <row r="67" spans="1:4" hidden="1" x14ac:dyDescent="0.25">
      <c r="A67" s="19" t="s">
        <v>286</v>
      </c>
      <c r="B67" s="11">
        <v>0</v>
      </c>
      <c r="C67" s="23"/>
      <c r="D67" s="24"/>
    </row>
    <row r="68" spans="1:4" x14ac:dyDescent="0.25">
      <c r="A68" s="19" t="s">
        <v>287</v>
      </c>
      <c r="B68" s="11">
        <f>149755*1.04*1.12*1.05</f>
        <v>183156.35520000005</v>
      </c>
      <c r="C68" s="23">
        <f>B68/B16</f>
        <v>47.468812279866661</v>
      </c>
      <c r="D68" s="24"/>
    </row>
    <row r="69" spans="1:4" hidden="1" x14ac:dyDescent="0.25">
      <c r="A69" s="19" t="s">
        <v>288</v>
      </c>
      <c r="B69" s="11">
        <v>0</v>
      </c>
      <c r="C69" s="23"/>
      <c r="D69" s="24"/>
    </row>
    <row r="70" spans="1:4" x14ac:dyDescent="0.25">
      <c r="A70" s="25" t="s">
        <v>289</v>
      </c>
      <c r="B70" s="11">
        <f>1.35*B15</f>
        <v>5543.9100000000008</v>
      </c>
      <c r="C70" s="23"/>
      <c r="D70" s="24"/>
    </row>
    <row r="71" spans="1:4" x14ac:dyDescent="0.25">
      <c r="A71" s="25" t="s">
        <v>290</v>
      </c>
      <c r="B71" s="11">
        <f>5.06*B15</f>
        <v>20779.396000000001</v>
      </c>
      <c r="C71" s="23"/>
      <c r="D71" s="24"/>
    </row>
    <row r="72" spans="1:4" x14ac:dyDescent="0.25">
      <c r="A72" s="25" t="s">
        <v>291</v>
      </c>
      <c r="B72" s="11">
        <f>17.68*B15</f>
        <v>72604.688000000009</v>
      </c>
      <c r="C72" s="23"/>
      <c r="D72" s="24"/>
    </row>
    <row r="73" spans="1:4" x14ac:dyDescent="0.25">
      <c r="A73" s="25" t="s">
        <v>292</v>
      </c>
      <c r="B73" s="11">
        <f>8000*1.0952</f>
        <v>8761.6</v>
      </c>
      <c r="C73" s="23"/>
      <c r="D73" s="24"/>
    </row>
    <row r="74" spans="1:4" x14ac:dyDescent="0.25">
      <c r="A74" s="25" t="s">
        <v>293</v>
      </c>
      <c r="B74" s="11">
        <f>63865*1.0952</f>
        <v>69944.948000000004</v>
      </c>
      <c r="C74" s="23"/>
      <c r="D74" s="24"/>
    </row>
    <row r="75" spans="1:4" ht="63" x14ac:dyDescent="0.25">
      <c r="A75" s="34" t="s">
        <v>294</v>
      </c>
      <c r="B75" s="121">
        <f>SUM(B76:B76)</f>
        <v>157007.872</v>
      </c>
      <c r="C75" s="23"/>
      <c r="D75" s="24"/>
    </row>
    <row r="76" spans="1:4" x14ac:dyDescent="0.25">
      <c r="A76" s="25" t="s">
        <v>295</v>
      </c>
      <c r="B76" s="11">
        <f>128000*1.12*1.0952</f>
        <v>157007.872</v>
      </c>
      <c r="C76" s="23"/>
      <c r="D76" s="24"/>
    </row>
    <row r="77" spans="1:4" s="4" customFormat="1" x14ac:dyDescent="0.25">
      <c r="A77" s="33" t="s">
        <v>296</v>
      </c>
      <c r="B77" s="121">
        <f>SUM(B78:B81)</f>
        <v>129670.79700000002</v>
      </c>
      <c r="C77" s="23"/>
      <c r="D77" s="24"/>
    </row>
    <row r="78" spans="1:4" x14ac:dyDescent="0.25">
      <c r="A78" s="35" t="s">
        <v>297</v>
      </c>
      <c r="B78" s="11">
        <f>88000*1.12*1.0952</f>
        <v>107942.91200000001</v>
      </c>
      <c r="C78" s="23"/>
      <c r="D78" s="24"/>
    </row>
    <row r="79" spans="1:4" x14ac:dyDescent="0.25">
      <c r="A79" s="35" t="s">
        <v>298</v>
      </c>
      <c r="B79" s="11">
        <f>(B26/1.2)*30%</f>
        <v>444.33499999999998</v>
      </c>
      <c r="C79" s="23"/>
      <c r="D79" s="24"/>
    </row>
    <row r="80" spans="1:4" x14ac:dyDescent="0.25">
      <c r="A80" s="36" t="s">
        <v>299</v>
      </c>
      <c r="B80" s="11">
        <f>6216+6017.95</f>
        <v>12233.95</v>
      </c>
      <c r="C80" s="23"/>
      <c r="D80" s="24"/>
    </row>
    <row r="81" spans="1:4" x14ac:dyDescent="0.25">
      <c r="A81" s="36" t="s">
        <v>300</v>
      </c>
      <c r="B81" s="11">
        <f>8000*1.12*1.01</f>
        <v>9049.6</v>
      </c>
      <c r="C81" s="23"/>
      <c r="D81" s="24"/>
    </row>
    <row r="82" spans="1:4" x14ac:dyDescent="0.25">
      <c r="A82" s="37" t="s">
        <v>301</v>
      </c>
      <c r="B82" s="14">
        <f>B32+B42+B46+B66+B75+B77</f>
        <v>1062306.0542000001</v>
      </c>
      <c r="C82" s="23"/>
      <c r="D82" s="24"/>
    </row>
    <row r="83" spans="1:4" x14ac:dyDescent="0.25">
      <c r="A83" s="199" t="s">
        <v>302</v>
      </c>
      <c r="B83" s="11">
        <f>B82*0.03</f>
        <v>31869.181626000001</v>
      </c>
      <c r="C83" s="23"/>
      <c r="D83" s="24"/>
    </row>
    <row r="84" spans="1:4" s="18" customFormat="1" x14ac:dyDescent="0.25">
      <c r="A84" s="176" t="s">
        <v>303</v>
      </c>
      <c r="B84" s="121">
        <f>B82+B83</f>
        <v>1094175.2358260001</v>
      </c>
      <c r="C84" s="23"/>
      <c r="D84" s="24"/>
    </row>
    <row r="85" spans="1:4" ht="16.5" thickBot="1" x14ac:dyDescent="0.3">
      <c r="A85" s="177" t="s">
        <v>304</v>
      </c>
      <c r="B85" s="142">
        <f>B84*0.2</f>
        <v>218835.04716520003</v>
      </c>
      <c r="C85" s="23"/>
      <c r="D85" s="24"/>
    </row>
    <row r="86" spans="1:4" s="4" customFormat="1" ht="16.5" thickBot="1" x14ac:dyDescent="0.3">
      <c r="A86" s="38" t="s">
        <v>305</v>
      </c>
      <c r="B86" s="46">
        <f>B84+B85</f>
        <v>1313010.2829912002</v>
      </c>
      <c r="C86" s="40"/>
      <c r="D86" s="41"/>
    </row>
    <row r="87" spans="1:4" s="4" customFormat="1" ht="16.5" thickBot="1" x14ac:dyDescent="0.3">
      <c r="A87" s="42" t="s">
        <v>306</v>
      </c>
      <c r="B87" s="46">
        <f>B10+B24+B26+B28+B29-B86</f>
        <v>144414.76700879983</v>
      </c>
      <c r="C87" s="43"/>
      <c r="D87" s="43"/>
    </row>
    <row r="88" spans="1:4" s="4" customFormat="1" ht="16.5" hidden="1" thickBot="1" x14ac:dyDescent="0.3">
      <c r="A88" s="44" t="s">
        <v>307</v>
      </c>
      <c r="B88" s="39"/>
      <c r="C88" s="43"/>
      <c r="D88" s="43"/>
    </row>
    <row r="89" spans="1:4" s="4" customFormat="1" ht="16.5" hidden="1" thickBot="1" x14ac:dyDescent="0.3">
      <c r="A89" s="45" t="s">
        <v>308</v>
      </c>
      <c r="B89" s="46"/>
      <c r="C89" s="43"/>
      <c r="D89" s="43"/>
    </row>
    <row r="90" spans="1:4" s="4" customFormat="1" x14ac:dyDescent="0.25">
      <c r="A90" s="47"/>
      <c r="B90" s="200"/>
      <c r="C90" s="43"/>
      <c r="D90" s="43"/>
    </row>
    <row r="91" spans="1:4" x14ac:dyDescent="0.25">
      <c r="A91" s="49"/>
    </row>
    <row r="92" spans="1:4" x14ac:dyDescent="0.25">
      <c r="A92" s="267" t="s">
        <v>540</v>
      </c>
      <c r="B92" s="267"/>
    </row>
    <row r="93" spans="1:4" x14ac:dyDescent="0.25">
      <c r="A93" s="49"/>
      <c r="B93" s="51"/>
    </row>
    <row r="94" spans="1:4" x14ac:dyDescent="0.25">
      <c r="A94" s="268"/>
      <c r="B94" s="268"/>
      <c r="C94" s="51"/>
    </row>
  </sheetData>
  <autoFilter ref="A32:B89" xr:uid="{00000000-0009-0000-0000-00003F000000}">
    <filterColumn colId="1">
      <filters>
        <filter val="1 062 306,05"/>
        <filter val="1 094 175,24"/>
        <filter val="1 313 010,28"/>
        <filter val="1 682,04"/>
        <filter val="107 942,91"/>
        <filter val="119 701,25"/>
        <filter val="12 233,95"/>
        <filter val="129 670,80"/>
        <filter val="144 414,77"/>
        <filter val="156 441,60"/>
        <filter val="157 007,87"/>
        <filter val="18 971,40"/>
        <filter val="183 156,36"/>
        <filter val="2 042,58"/>
        <filter val="20 779,40"/>
        <filter val="218 835,05"/>
        <filter val="22 968,05"/>
        <filter val="224 239,28"/>
        <filter val="26 985,73"/>
        <filter val="31 869,18"/>
        <filter val="360 790,90"/>
        <filter val="4 200,00"/>
        <filter val="444,34"/>
        <filter val="5 543,91"/>
        <filter val="69 944,95"/>
        <filter val="70 895,96"/>
        <filter val="72 604,69"/>
        <filter val="8 133,61"/>
        <filter val="8 761,60"/>
        <filter val="9 049,60"/>
        <filter val="9 800,00"/>
        <filter val="92 715,52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9055118110236221" right="0.9055118110236221" top="0.74803149606299213" bottom="0.74803149606299213" header="0.31496062992125984" footer="0.31496062992125984"/>
  <pageSetup paperSize="9" scale="76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filterMode="1">
    <pageSetUpPr fitToPage="1"/>
  </sheetPr>
  <dimension ref="A1:G92"/>
  <sheetViews>
    <sheetView view="pageBreakPreview" topLeftCell="A54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133</v>
      </c>
      <c r="B5" s="185"/>
      <c r="C5" s="3"/>
      <c r="D5" s="3"/>
    </row>
    <row r="6" spans="1:4" ht="5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71" t="s">
        <v>227</v>
      </c>
      <c r="B8" s="273" t="s">
        <v>228</v>
      </c>
      <c r="C8" s="265" t="s">
        <v>229</v>
      </c>
      <c r="D8" s="265" t="s">
        <v>230</v>
      </c>
    </row>
    <row r="9" spans="1:4" ht="13.5" thickBot="1" x14ac:dyDescent="0.25">
      <c r="A9" s="272"/>
      <c r="B9" s="274"/>
      <c r="C9" s="266"/>
      <c r="D9" s="266"/>
    </row>
    <row r="10" spans="1:4" ht="16.5" thickBot="1" x14ac:dyDescent="0.25">
      <c r="A10" s="187" t="s">
        <v>231</v>
      </c>
      <c r="B10" s="188">
        <f>VLOOKUP(A5,мкд!S:T,2,FALSE)</f>
        <v>-1392017.83</v>
      </c>
      <c r="C10" s="189"/>
      <c r="D10" s="189"/>
    </row>
    <row r="11" spans="1:4" ht="16.5" hidden="1" thickBot="1" x14ac:dyDescent="0.25">
      <c r="A11" s="190" t="s">
        <v>232</v>
      </c>
      <c r="B11" s="188"/>
      <c r="C11" s="191"/>
      <c r="D11" s="191"/>
    </row>
    <row r="12" spans="1:4" ht="15.75" x14ac:dyDescent="0.25">
      <c r="A12" s="192" t="s">
        <v>233</v>
      </c>
      <c r="B12" s="193"/>
      <c r="C12" s="5" t="s">
        <v>234</v>
      </c>
      <c r="D12" s="6" t="s">
        <v>234</v>
      </c>
    </row>
    <row r="13" spans="1:4" ht="15.75" hidden="1" x14ac:dyDescent="0.25">
      <c r="A13" s="107" t="s">
        <v>235</v>
      </c>
      <c r="B13" s="8">
        <v>3349.4</v>
      </c>
      <c r="C13" s="9" t="s">
        <v>234</v>
      </c>
      <c r="D13" s="10" t="s">
        <v>234</v>
      </c>
    </row>
    <row r="14" spans="1:4" ht="15.75" hidden="1" x14ac:dyDescent="0.25">
      <c r="A14" s="7" t="s">
        <v>236</v>
      </c>
      <c r="B14" s="11">
        <v>0</v>
      </c>
      <c r="C14" s="9"/>
      <c r="D14" s="10"/>
    </row>
    <row r="15" spans="1:4" ht="15.75" hidden="1" x14ac:dyDescent="0.25">
      <c r="A15" s="107" t="s">
        <v>237</v>
      </c>
      <c r="B15" s="8">
        <f>B13+B14</f>
        <v>3349.4</v>
      </c>
      <c r="C15" s="9"/>
      <c r="D15" s="10"/>
    </row>
    <row r="16" spans="1:4" ht="15.75" hidden="1" x14ac:dyDescent="0.25">
      <c r="A16" s="107" t="s">
        <v>238</v>
      </c>
      <c r="B16" s="8">
        <f>1317.8+2287/3</f>
        <v>2080.1333333333332</v>
      </c>
      <c r="C16" s="9" t="s">
        <v>234</v>
      </c>
      <c r="D16" s="10" t="s">
        <v>234</v>
      </c>
    </row>
    <row r="17" spans="1:7" ht="15.75" hidden="1" x14ac:dyDescent="0.25">
      <c r="A17" s="107" t="s">
        <v>239</v>
      </c>
      <c r="B17" s="8">
        <f>262.3+8.8</f>
        <v>271.10000000000002</v>
      </c>
      <c r="C17" s="9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107" t="s">
        <v>240</v>
      </c>
      <c r="B18" s="8">
        <v>624.20000000000005</v>
      </c>
      <c r="C18" s="9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7" t="s">
        <v>241</v>
      </c>
      <c r="B19" s="11">
        <v>0</v>
      </c>
      <c r="C19" s="9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107" t="s">
        <v>242</v>
      </c>
      <c r="B20" s="8">
        <v>1031</v>
      </c>
      <c r="C20" s="9"/>
      <c r="D20" s="10"/>
      <c r="E20" s="3"/>
      <c r="F20" s="3"/>
      <c r="G20" s="3"/>
    </row>
    <row r="21" spans="1:7" ht="15.75" hidden="1" x14ac:dyDescent="0.25">
      <c r="A21" s="7" t="s">
        <v>243</v>
      </c>
      <c r="B21" s="11">
        <v>0</v>
      </c>
      <c r="C21" s="9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107" t="s">
        <v>244</v>
      </c>
      <c r="B22" s="8">
        <v>194</v>
      </c>
      <c r="C22" s="9"/>
      <c r="D22" s="10"/>
      <c r="E22" s="3"/>
      <c r="F22" s="3"/>
      <c r="G22" s="3"/>
    </row>
    <row r="23" spans="1:7" ht="15.75" x14ac:dyDescent="0.25">
      <c r="A23" s="7"/>
      <c r="B23" s="11"/>
      <c r="C23" s="9"/>
      <c r="D23" s="10"/>
      <c r="E23" s="3">
        <v>10</v>
      </c>
      <c r="F23" s="3">
        <v>2</v>
      </c>
      <c r="G23" s="3"/>
    </row>
    <row r="24" spans="1:7" ht="15.75" x14ac:dyDescent="0.25">
      <c r="A24" s="257" t="s">
        <v>245</v>
      </c>
      <c r="B24" s="255">
        <f>VLOOKUP(A5,мкд!W:X,2,FALSE)</f>
        <v>820532.41999999993</v>
      </c>
      <c r="C24" s="9"/>
      <c r="D24" s="10"/>
      <c r="E24" s="194">
        <v>18.010000000000002</v>
      </c>
      <c r="F24" s="195">
        <v>20.160394</v>
      </c>
      <c r="G24" s="3"/>
    </row>
    <row r="25" spans="1:7" ht="15.75" x14ac:dyDescent="0.25">
      <c r="A25" s="12" t="s">
        <v>246</v>
      </c>
      <c r="B25" s="14">
        <f>VLOOKUP(A5,мкд!W:Y,3,FALSE)</f>
        <v>823146.34</v>
      </c>
      <c r="C25" s="9"/>
      <c r="D25" s="10"/>
      <c r="E25" s="3"/>
      <c r="F25" s="3"/>
      <c r="G25" s="3"/>
    </row>
    <row r="26" spans="1:7" ht="15.75" hidden="1" x14ac:dyDescent="0.25">
      <c r="A26" s="12" t="s">
        <v>247</v>
      </c>
      <c r="B26" s="13"/>
      <c r="C26" s="9"/>
      <c r="D26" s="10"/>
      <c r="E26" s="3"/>
      <c r="F26" s="3"/>
      <c r="G26" s="3"/>
    </row>
    <row r="27" spans="1:7" ht="15.75" hidden="1" x14ac:dyDescent="0.25">
      <c r="A27" s="12" t="s">
        <v>248</v>
      </c>
      <c r="B27" s="13"/>
      <c r="C27" s="9"/>
      <c r="D27" s="10"/>
      <c r="E27" s="3"/>
      <c r="F27" s="3"/>
      <c r="G27" s="3"/>
    </row>
    <row r="28" spans="1:7" ht="15.75" x14ac:dyDescent="0.25">
      <c r="A28" s="12" t="s">
        <v>249</v>
      </c>
      <c r="B28" s="14">
        <v>9097.23</v>
      </c>
      <c r="C28" s="9"/>
      <c r="D28" s="10"/>
      <c r="E28" s="3"/>
      <c r="F28" s="3"/>
      <c r="G28" s="3"/>
    </row>
    <row r="29" spans="1:7" ht="15.75" hidden="1" x14ac:dyDescent="0.25">
      <c r="A29" s="12" t="s">
        <v>367</v>
      </c>
      <c r="B29" s="13"/>
      <c r="C29" s="9"/>
      <c r="D29" s="10"/>
      <c r="E29" s="3"/>
      <c r="F29" s="3"/>
      <c r="G29" s="3"/>
    </row>
    <row r="30" spans="1:7" ht="15.75" x14ac:dyDescent="0.25">
      <c r="A30" s="196"/>
      <c r="B30" s="11"/>
      <c r="C30" s="9"/>
      <c r="D30" s="10"/>
      <c r="E30" s="3"/>
      <c r="F30" s="3"/>
      <c r="G30" s="3"/>
    </row>
    <row r="31" spans="1:7" ht="15.75" x14ac:dyDescent="0.25">
      <c r="A31" s="197" t="s">
        <v>251</v>
      </c>
      <c r="B31" s="11"/>
      <c r="C31" s="9"/>
      <c r="D31" s="10"/>
      <c r="E31" s="3"/>
      <c r="F31" s="3"/>
      <c r="G31" s="3"/>
    </row>
    <row r="32" spans="1:7" s="18" customFormat="1" ht="31.5" x14ac:dyDescent="0.25">
      <c r="A32" s="15" t="s">
        <v>252</v>
      </c>
      <c r="B32" s="121">
        <f>SUM(B33:B41)</f>
        <v>184188.2</v>
      </c>
      <c r="C32" s="9"/>
      <c r="D32" s="10"/>
      <c r="E32" s="17">
        <f>(B24-B74)/1.2/1.03</f>
        <v>-397869.02753438673</v>
      </c>
      <c r="F32" s="17" t="e">
        <f>(#REF!-#REF!)/1.2/1.03</f>
        <v>#REF!</v>
      </c>
      <c r="G32" s="17" t="e">
        <f>(#REF!-#REF!)/1.2/1.03</f>
        <v>#REF!</v>
      </c>
    </row>
    <row r="33" spans="1:7" ht="15.75" x14ac:dyDescent="0.25">
      <c r="A33" s="19" t="s">
        <v>253</v>
      </c>
      <c r="B33" s="11">
        <v>76235.360000000001</v>
      </c>
      <c r="C33" s="9"/>
      <c r="D33" s="10">
        <v>21561.45</v>
      </c>
      <c r="E33" s="3">
        <v>24</v>
      </c>
      <c r="F33" s="3"/>
      <c r="G33" s="3"/>
    </row>
    <row r="34" spans="1:7" ht="15.75" hidden="1" x14ac:dyDescent="0.25">
      <c r="A34" s="19" t="s">
        <v>254</v>
      </c>
      <c r="B34" s="8"/>
      <c r="C34" s="9"/>
      <c r="D34" s="10">
        <v>0</v>
      </c>
      <c r="E34" s="3">
        <v>26.2</v>
      </c>
      <c r="F34" s="3"/>
      <c r="G34" s="3"/>
    </row>
    <row r="35" spans="1:7" ht="15.75" x14ac:dyDescent="0.25">
      <c r="A35" s="110" t="s">
        <v>255</v>
      </c>
      <c r="B35" s="8">
        <v>3641.27</v>
      </c>
      <c r="C35" s="9"/>
      <c r="D35" s="10">
        <v>0</v>
      </c>
      <c r="E35" s="3">
        <v>9.4</v>
      </c>
      <c r="F35" s="3"/>
      <c r="G35" s="3"/>
    </row>
    <row r="36" spans="1:7" ht="15.75" hidden="1" x14ac:dyDescent="0.25">
      <c r="A36" s="119" t="s">
        <v>368</v>
      </c>
      <c r="B36" s="94"/>
      <c r="C36" s="9" t="s">
        <v>234</v>
      </c>
      <c r="D36" s="10">
        <v>0</v>
      </c>
      <c r="E36" s="3">
        <v>1.6</v>
      </c>
      <c r="F36" s="3"/>
      <c r="G36" s="3"/>
    </row>
    <row r="37" spans="1:7" ht="15.75" x14ac:dyDescent="0.25">
      <c r="A37" s="71" t="s">
        <v>309</v>
      </c>
      <c r="B37" s="118">
        <v>79184.649999999994</v>
      </c>
      <c r="C37" s="9"/>
      <c r="D37" s="10">
        <v>0</v>
      </c>
      <c r="E37" s="3"/>
      <c r="F37" s="3"/>
      <c r="G37" s="3"/>
    </row>
    <row r="38" spans="1:7" ht="15.75" x14ac:dyDescent="0.25">
      <c r="A38" s="198" t="s">
        <v>369</v>
      </c>
      <c r="B38" s="173">
        <v>15334.66</v>
      </c>
      <c r="C38" s="9"/>
      <c r="D38" s="10">
        <v>0</v>
      </c>
      <c r="E38" s="3"/>
      <c r="F38" s="3"/>
      <c r="G38" s="3"/>
    </row>
    <row r="39" spans="1:7" ht="15.75" x14ac:dyDescent="0.25">
      <c r="A39" s="69" t="s">
        <v>256</v>
      </c>
      <c r="B39" s="92">
        <v>9792.26</v>
      </c>
      <c r="C39" s="9"/>
      <c r="D39" s="10">
        <v>0</v>
      </c>
      <c r="E39" s="3"/>
      <c r="F39" s="3"/>
      <c r="G39" s="3"/>
    </row>
    <row r="40" spans="1:7" ht="15.75" hidden="1" x14ac:dyDescent="0.25">
      <c r="A40" s="91" t="s">
        <v>371</v>
      </c>
      <c r="B40" s="116"/>
      <c r="C40" s="9"/>
      <c r="D40" s="10"/>
      <c r="E40" s="3"/>
      <c r="F40" s="3"/>
      <c r="G40" s="3"/>
    </row>
    <row r="41" spans="1:7" ht="15.75" hidden="1" x14ac:dyDescent="0.25">
      <c r="A41" s="20" t="s">
        <v>260</v>
      </c>
      <c r="B41" s="21"/>
      <c r="C41" s="9"/>
      <c r="D41" s="10"/>
      <c r="E41" s="3"/>
      <c r="F41" s="3"/>
      <c r="G41" s="3"/>
    </row>
    <row r="42" spans="1:7" s="18" customFormat="1" ht="47.25" x14ac:dyDescent="0.25">
      <c r="A42" s="15" t="s">
        <v>261</v>
      </c>
      <c r="B42" s="121">
        <f>SUM(B43:B45)</f>
        <v>313895.53279999999</v>
      </c>
      <c r="C42" s="9"/>
      <c r="D42" s="10"/>
      <c r="E42" s="17"/>
      <c r="F42" s="17"/>
      <c r="G42" s="17"/>
    </row>
    <row r="43" spans="1:7" ht="15.75" x14ac:dyDescent="0.25">
      <c r="A43" s="19" t="s">
        <v>262</v>
      </c>
      <c r="B43" s="11">
        <v>271532.19</v>
      </c>
      <c r="C43" s="23"/>
      <c r="D43" s="24"/>
      <c r="E43" s="3">
        <v>11.8</v>
      </c>
      <c r="F43" s="3"/>
      <c r="G43" s="3"/>
    </row>
    <row r="44" spans="1:7" ht="15.75" x14ac:dyDescent="0.25">
      <c r="A44" s="19" t="s">
        <v>263</v>
      </c>
      <c r="B44" s="11">
        <v>21320.17</v>
      </c>
      <c r="C44" s="23"/>
      <c r="D44" s="24"/>
      <c r="E44" s="3">
        <v>37.1</v>
      </c>
      <c r="F44" s="3"/>
      <c r="G44" s="3"/>
    </row>
    <row r="45" spans="1:7" ht="15.75" x14ac:dyDescent="0.25">
      <c r="A45" s="25" t="s">
        <v>264</v>
      </c>
      <c r="B45" s="11">
        <f>19214*1.0952</f>
        <v>21043.1728</v>
      </c>
      <c r="C45" s="23"/>
      <c r="D45" s="24"/>
      <c r="E45" s="3"/>
      <c r="F45" s="3"/>
      <c r="G45" s="3"/>
    </row>
    <row r="46" spans="1:7" s="4" customFormat="1" ht="15.75" x14ac:dyDescent="0.25">
      <c r="A46" s="15" t="s">
        <v>265</v>
      </c>
      <c r="B46" s="121">
        <f>SUM(B47:B53)</f>
        <v>75594.490000000005</v>
      </c>
      <c r="C46" s="9"/>
      <c r="D46" s="10"/>
    </row>
    <row r="47" spans="1:7" ht="15.75" x14ac:dyDescent="0.25">
      <c r="A47" s="19" t="s">
        <v>266</v>
      </c>
      <c r="B47" s="11">
        <v>2621.64</v>
      </c>
      <c r="C47" s="9"/>
      <c r="D47" s="10"/>
      <c r="E47" s="3" t="s">
        <v>267</v>
      </c>
      <c r="F47" s="3"/>
      <c r="G47" s="3"/>
    </row>
    <row r="48" spans="1:7" ht="15.75" x14ac:dyDescent="0.25">
      <c r="A48" s="19" t="s">
        <v>268</v>
      </c>
      <c r="B48" s="11">
        <v>3183.42</v>
      </c>
      <c r="C48" s="9"/>
      <c r="D48" s="10"/>
      <c r="E48" s="3" t="s">
        <v>269</v>
      </c>
      <c r="F48" s="3"/>
      <c r="G48" s="3"/>
    </row>
    <row r="49" spans="1:5" ht="15.75" x14ac:dyDescent="0.25">
      <c r="A49" s="111" t="s">
        <v>275</v>
      </c>
      <c r="B49" s="8">
        <v>8133.61</v>
      </c>
      <c r="C49" s="9">
        <v>1</v>
      </c>
      <c r="D49" s="28">
        <v>700.55</v>
      </c>
      <c r="E49" s="3"/>
    </row>
    <row r="50" spans="1:5" ht="15.75" x14ac:dyDescent="0.25">
      <c r="A50" s="110" t="s">
        <v>325</v>
      </c>
      <c r="B50" s="29">
        <v>15304.67</v>
      </c>
      <c r="C50" s="30">
        <v>1</v>
      </c>
      <c r="D50" s="10">
        <v>0</v>
      </c>
      <c r="E50" s="3"/>
    </row>
    <row r="51" spans="1:5" ht="15.75" x14ac:dyDescent="0.25">
      <c r="A51" s="110" t="s">
        <v>356</v>
      </c>
      <c r="B51" s="29">
        <f>302.25+21972.41</f>
        <v>22274.66</v>
      </c>
      <c r="C51" s="30"/>
      <c r="D51" s="10"/>
      <c r="E51" s="3"/>
    </row>
    <row r="52" spans="1:5" ht="17.25" customHeight="1" x14ac:dyDescent="0.25">
      <c r="A52" s="19" t="s">
        <v>518</v>
      </c>
      <c r="B52" s="29">
        <v>19876.490000000002</v>
      </c>
      <c r="C52" s="30">
        <v>70</v>
      </c>
      <c r="D52" s="10">
        <v>2</v>
      </c>
      <c r="E52" s="3">
        <v>0</v>
      </c>
    </row>
    <row r="53" spans="1:5" ht="15.75" x14ac:dyDescent="0.25">
      <c r="A53" s="110" t="s">
        <v>530</v>
      </c>
      <c r="B53" s="29">
        <v>4200</v>
      </c>
      <c r="C53" s="32"/>
      <c r="D53" s="24">
        <v>0</v>
      </c>
      <c r="E53" s="3"/>
    </row>
    <row r="54" spans="1:5" s="4" customFormat="1" ht="15.75" x14ac:dyDescent="0.25">
      <c r="A54" s="112" t="s">
        <v>285</v>
      </c>
      <c r="B54" s="16">
        <f>SUM(B55:B62)</f>
        <v>253059.41396416002</v>
      </c>
      <c r="C54" s="23"/>
      <c r="D54" s="24"/>
    </row>
    <row r="55" spans="1:5" ht="15.75" hidden="1" x14ac:dyDescent="0.25">
      <c r="A55" s="19" t="s">
        <v>286</v>
      </c>
      <c r="B55" s="11">
        <v>0</v>
      </c>
      <c r="C55" s="23"/>
      <c r="D55" s="24"/>
      <c r="E55" s="3"/>
    </row>
    <row r="56" spans="1:5" ht="15.75" x14ac:dyDescent="0.25">
      <c r="A56" s="110" t="s">
        <v>287</v>
      </c>
      <c r="B56" s="8">
        <f>80305*1.04*1.12*1.0952</f>
        <v>102444.2019328</v>
      </c>
      <c r="C56" s="23"/>
      <c r="D56" s="24"/>
      <c r="E56" s="3"/>
    </row>
    <row r="57" spans="1:5" ht="15.75" hidden="1" x14ac:dyDescent="0.25">
      <c r="A57" s="19" t="s">
        <v>288</v>
      </c>
      <c r="B57" s="11">
        <v>0</v>
      </c>
      <c r="C57" s="23"/>
      <c r="D57" s="24"/>
      <c r="E57" s="3"/>
    </row>
    <row r="58" spans="1:5" ht="15.75" x14ac:dyDescent="0.25">
      <c r="A58" s="103" t="s">
        <v>289</v>
      </c>
      <c r="B58" s="8">
        <f>1.35*B15</f>
        <v>4521.6900000000005</v>
      </c>
      <c r="C58" s="23"/>
      <c r="D58" s="24"/>
      <c r="E58" s="3"/>
    </row>
    <row r="59" spans="1:5" ht="15.75" x14ac:dyDescent="0.25">
      <c r="A59" s="103" t="s">
        <v>290</v>
      </c>
      <c r="B59" s="8">
        <f>5.06*B15</f>
        <v>16947.964</v>
      </c>
      <c r="C59" s="23"/>
      <c r="D59" s="24"/>
      <c r="E59" s="3"/>
    </row>
    <row r="60" spans="1:5" ht="15.75" x14ac:dyDescent="0.25">
      <c r="A60" s="103" t="s">
        <v>291</v>
      </c>
      <c r="B60" s="8">
        <f>17.68*B15</f>
        <v>59217.392</v>
      </c>
      <c r="C60" s="23"/>
      <c r="D60" s="24"/>
      <c r="E60" s="3"/>
    </row>
    <row r="61" spans="1:5" ht="15.75" x14ac:dyDescent="0.25">
      <c r="A61" s="103" t="s">
        <v>292</v>
      </c>
      <c r="B61" s="8">
        <f>5804*1.04*1.12*1.0952</f>
        <v>7404.0987238400003</v>
      </c>
      <c r="C61" s="23"/>
      <c r="D61" s="24"/>
      <c r="E61" s="3"/>
    </row>
    <row r="62" spans="1:5" ht="15.75" x14ac:dyDescent="0.25">
      <c r="A62" s="25" t="s">
        <v>293</v>
      </c>
      <c r="B62" s="11">
        <f>49012*1.04*1.12*1.0952</f>
        <v>62524.06730752001</v>
      </c>
      <c r="C62" s="23"/>
      <c r="D62" s="24"/>
      <c r="E62" s="3"/>
    </row>
    <row r="63" spans="1:5" ht="63" x14ac:dyDescent="0.25">
      <c r="A63" s="34" t="s">
        <v>294</v>
      </c>
      <c r="B63" s="121">
        <f>SUM(B64:B64)</f>
        <v>123889.024</v>
      </c>
      <c r="C63" s="23"/>
      <c r="D63" s="24"/>
      <c r="E63" s="3"/>
    </row>
    <row r="64" spans="1:5" ht="15.75" x14ac:dyDescent="0.25">
      <c r="A64" s="25" t="s">
        <v>295</v>
      </c>
      <c r="B64" s="11">
        <f>101000*1.12*1.0952</f>
        <v>123889.024</v>
      </c>
      <c r="C64" s="23"/>
      <c r="D64" s="24"/>
      <c r="E64" s="3"/>
    </row>
    <row r="65" spans="1:4" s="4" customFormat="1" ht="15.75" x14ac:dyDescent="0.25">
      <c r="A65" s="33" t="s">
        <v>296</v>
      </c>
      <c r="B65" s="121">
        <f>SUM(B66:B69)</f>
        <v>111103.54800000001</v>
      </c>
      <c r="C65" s="23"/>
      <c r="D65" s="24"/>
    </row>
    <row r="66" spans="1:4" ht="15.75" x14ac:dyDescent="0.25">
      <c r="A66" s="35" t="s">
        <v>297</v>
      </c>
      <c r="B66" s="11">
        <f>72000*1.12*1.0952</f>
        <v>88316.928000000014</v>
      </c>
      <c r="C66" s="23"/>
      <c r="D66" s="24"/>
    </row>
    <row r="67" spans="1:4" ht="15.75" hidden="1" x14ac:dyDescent="0.25">
      <c r="A67" s="35" t="s">
        <v>298</v>
      </c>
      <c r="B67" s="11">
        <f>(B26/1.2)*30%</f>
        <v>0</v>
      </c>
      <c r="C67" s="23"/>
      <c r="D67" s="24"/>
    </row>
    <row r="68" spans="1:4" ht="15.75" x14ac:dyDescent="0.25">
      <c r="A68" s="36" t="s">
        <v>299</v>
      </c>
      <c r="B68" s="11">
        <f>9481.88+6517.54</f>
        <v>15999.419999999998</v>
      </c>
      <c r="C68" s="23"/>
      <c r="D68" s="24"/>
    </row>
    <row r="69" spans="1:4" ht="15.75" x14ac:dyDescent="0.25">
      <c r="A69" s="113" t="s">
        <v>300</v>
      </c>
      <c r="B69" s="8">
        <f>6000*1.12*1.01</f>
        <v>6787.2000000000007</v>
      </c>
      <c r="C69" s="23"/>
      <c r="D69" s="24"/>
    </row>
    <row r="70" spans="1:4" ht="15.75" x14ac:dyDescent="0.25">
      <c r="A70" s="37" t="s">
        <v>301</v>
      </c>
      <c r="B70" s="14">
        <f>B32+B42+B46+B54+B63+B65</f>
        <v>1061730.2087641601</v>
      </c>
      <c r="C70" s="23"/>
      <c r="D70" s="24"/>
    </row>
    <row r="71" spans="1:4" ht="15.75" x14ac:dyDescent="0.25">
      <c r="A71" s="199" t="s">
        <v>302</v>
      </c>
      <c r="B71" s="11">
        <f>B70*0.03</f>
        <v>31851.9062629248</v>
      </c>
      <c r="C71" s="23"/>
      <c r="D71" s="24"/>
    </row>
    <row r="72" spans="1:4" s="18" customFormat="1" ht="15.75" x14ac:dyDescent="0.25">
      <c r="A72" s="176" t="s">
        <v>303</v>
      </c>
      <c r="B72" s="121">
        <f>B70+B71</f>
        <v>1093582.1150270849</v>
      </c>
      <c r="C72" s="23"/>
      <c r="D72" s="24"/>
    </row>
    <row r="73" spans="1:4" ht="16.5" thickBot="1" x14ac:dyDescent="0.3">
      <c r="A73" s="177" t="s">
        <v>304</v>
      </c>
      <c r="B73" s="142">
        <f>B72*0.2</f>
        <v>218716.42300541699</v>
      </c>
      <c r="C73" s="23"/>
      <c r="D73" s="24"/>
    </row>
    <row r="74" spans="1:4" s="4" customFormat="1" ht="16.5" thickBot="1" x14ac:dyDescent="0.3">
      <c r="A74" s="38" t="s">
        <v>305</v>
      </c>
      <c r="B74" s="46">
        <f>B72+B73</f>
        <v>1312298.5380325019</v>
      </c>
      <c r="C74" s="40"/>
      <c r="D74" s="41"/>
    </row>
    <row r="75" spans="1:4" s="4" customFormat="1" ht="16.5" thickBot="1" x14ac:dyDescent="0.3">
      <c r="A75" s="42" t="s">
        <v>306</v>
      </c>
      <c r="B75" s="46">
        <f>B10+B24+B26+B28+B29-B74</f>
        <v>-1874686.7180325021</v>
      </c>
      <c r="C75" s="43"/>
      <c r="D75" s="43"/>
    </row>
    <row r="76" spans="1:4" s="4" customFormat="1" ht="16.5" hidden="1" thickBot="1" x14ac:dyDescent="0.3">
      <c r="A76" s="44" t="s">
        <v>307</v>
      </c>
      <c r="B76" s="46"/>
      <c r="C76" s="43"/>
      <c r="D76" s="43"/>
    </row>
    <row r="77" spans="1:4" s="4" customFormat="1" ht="16.5" hidden="1" thickBot="1" x14ac:dyDescent="0.3">
      <c r="A77" s="45" t="s">
        <v>308</v>
      </c>
      <c r="B77" s="46"/>
      <c r="C77" s="43"/>
      <c r="D77" s="43"/>
    </row>
    <row r="78" spans="1:4" s="4" customFormat="1" ht="15.75" x14ac:dyDescent="0.25">
      <c r="A78" s="47"/>
      <c r="B78" s="200"/>
      <c r="C78" s="43"/>
      <c r="D78" s="43"/>
    </row>
    <row r="79" spans="1:4" ht="15.75" x14ac:dyDescent="0.25">
      <c r="A79" s="115"/>
      <c r="B79" s="50"/>
      <c r="C79" s="3"/>
      <c r="D79" s="3"/>
    </row>
    <row r="80" spans="1:4" ht="15.75" x14ac:dyDescent="0.25">
      <c r="A80" s="267" t="s">
        <v>540</v>
      </c>
      <c r="B80" s="267"/>
      <c r="C80" s="3"/>
      <c r="D80" s="3"/>
    </row>
    <row r="81" spans="1:4" ht="15.75" x14ac:dyDescent="0.25">
      <c r="A81" s="49"/>
      <c r="B81" s="51"/>
      <c r="C81" s="3"/>
      <c r="D81" s="3"/>
    </row>
    <row r="82" spans="1:4" ht="15.75" x14ac:dyDescent="0.25">
      <c r="A82" s="268"/>
      <c r="B82" s="268"/>
      <c r="C82" s="51"/>
    </row>
    <row r="83" spans="1:4" ht="15.75" x14ac:dyDescent="0.25">
      <c r="A83" s="3"/>
      <c r="B83" s="3"/>
      <c r="C83" s="3"/>
    </row>
    <row r="84" spans="1:4" ht="15.75" x14ac:dyDescent="0.25">
      <c r="A84" s="3"/>
      <c r="B84" s="3"/>
      <c r="C84" s="3"/>
    </row>
    <row r="85" spans="1:4" ht="15.75" x14ac:dyDescent="0.25">
      <c r="A85" s="3"/>
      <c r="B85" s="3"/>
      <c r="C85" s="3"/>
    </row>
    <row r="86" spans="1:4" ht="15.75" x14ac:dyDescent="0.25">
      <c r="A86" s="3"/>
      <c r="B86" s="3"/>
      <c r="C86" s="3"/>
    </row>
    <row r="87" spans="1:4" ht="15.75" x14ac:dyDescent="0.25">
      <c r="A87" s="3"/>
      <c r="B87" s="3"/>
      <c r="C87" s="3"/>
    </row>
    <row r="88" spans="1:4" ht="15.75" x14ac:dyDescent="0.25">
      <c r="A88" s="50"/>
      <c r="B88" s="169"/>
      <c r="C88" s="3"/>
    </row>
    <row r="89" spans="1:4" ht="15.75" x14ac:dyDescent="0.25">
      <c r="A89" s="50"/>
      <c r="B89" s="50"/>
      <c r="C89" s="3"/>
    </row>
    <row r="90" spans="1:4" ht="15.75" hidden="1" x14ac:dyDescent="0.25">
      <c r="A90" s="3"/>
      <c r="B90" s="3"/>
      <c r="C90" s="3"/>
    </row>
    <row r="91" spans="1:4" ht="15.75" x14ac:dyDescent="0.25">
      <c r="A91" s="3"/>
      <c r="B91" s="3"/>
      <c r="C91" s="3"/>
    </row>
    <row r="92" spans="1:4" ht="15.75" x14ac:dyDescent="0.25">
      <c r="A92" s="3"/>
      <c r="B92" s="3"/>
      <c r="C92" s="3"/>
    </row>
  </sheetData>
  <autoFilter ref="A32:B77" xr:uid="{00000000-0009-0000-0000-000040000000}">
    <filterColumn colId="1">
      <filters>
        <filter val="1 061 730,21"/>
        <filter val="1 093 582,12"/>
        <filter val="1 312 298,54"/>
        <filter val="-1 874 686,72"/>
        <filter val="102 444,20"/>
        <filter val="111 103,55"/>
        <filter val="123 889,02"/>
        <filter val="15 304,67"/>
        <filter val="15 334,66"/>
        <filter val="15 999,42"/>
        <filter val="16 947,96"/>
        <filter val="19 876,49"/>
        <filter val="2 621,64"/>
        <filter val="21 043,17"/>
        <filter val="21 320,17"/>
        <filter val="218 716,42"/>
        <filter val="22 274,66"/>
        <filter val="253 059,41"/>
        <filter val="271 532,19"/>
        <filter val="3 183,42"/>
        <filter val="3 641,27"/>
        <filter val="31 851,91"/>
        <filter val="313 895,53"/>
        <filter val="4 200,00"/>
        <filter val="4 521,69"/>
        <filter val="59 217,39"/>
        <filter val="6 787,20"/>
        <filter val="62 524,07"/>
        <filter val="7 404,10"/>
        <filter val="75 594,49"/>
        <filter val="76 235,36"/>
        <filter val="79 184,65"/>
        <filter val="8 133,61"/>
        <filter val="88 316,93"/>
        <filter val="9 792,26"/>
      </filters>
    </filterColumn>
  </autoFilter>
  <mergeCells count="9">
    <mergeCell ref="D8:D9"/>
    <mergeCell ref="A80:B80"/>
    <mergeCell ref="A82:B82"/>
    <mergeCell ref="A1:B1"/>
    <mergeCell ref="A2:B2"/>
    <mergeCell ref="A3:B3"/>
    <mergeCell ref="A8:A9"/>
    <mergeCell ref="B8:B9"/>
    <mergeCell ref="C8:C9"/>
  </mergeCells>
  <phoneticPr fontId="43" type="noConversion"/>
  <pageMargins left="0.9055118110236221" right="0.9055118110236221" top="0.74803149606299213" bottom="0.74803149606299213" header="0.31496062992125984" footer="0.31496062992125984"/>
  <pageSetup paperSize="9" scale="73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filterMode="1">
    <pageSetUpPr fitToPage="1"/>
  </sheetPr>
  <dimension ref="A1:G95"/>
  <sheetViews>
    <sheetView view="pageBreakPreview" topLeftCell="A53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175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-114072.29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4547.6000000000004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0</v>
      </c>
      <c r="C14" s="60"/>
      <c r="D14" s="59"/>
    </row>
    <row r="15" spans="1:4" ht="15.75" hidden="1" x14ac:dyDescent="0.25">
      <c r="A15" s="58" t="s">
        <v>237</v>
      </c>
      <c r="B15" s="11">
        <f>B13+B14</f>
        <v>4547.6000000000004</v>
      </c>
      <c r="C15" s="61"/>
      <c r="D15" s="62"/>
    </row>
    <row r="16" spans="1:4" ht="16.5" hidden="1" thickBot="1" x14ac:dyDescent="0.3">
      <c r="A16" s="58" t="s">
        <v>238</v>
      </c>
      <c r="B16" s="11">
        <f>1492+3448/3</f>
        <v>2641.333333333333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1265.3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1432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262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/>
      <c r="F23" s="54"/>
      <c r="G23" s="54"/>
    </row>
    <row r="24" spans="1:7" ht="15.75" x14ac:dyDescent="0.25">
      <c r="A24" s="258" t="s">
        <v>317</v>
      </c>
      <c r="B24" s="255">
        <f>VLOOKUP(A5,мкд!W:X,2,FALSE)</f>
        <v>755198.27999999991</v>
      </c>
      <c r="C24" s="59"/>
      <c r="D24" s="62"/>
      <c r="E24" s="194">
        <v>13.84</v>
      </c>
      <c r="F24" s="54"/>
      <c r="G24" s="54"/>
    </row>
    <row r="25" spans="1:7" ht="16.5" thickBot="1" x14ac:dyDescent="0.3">
      <c r="A25" s="64" t="s">
        <v>318</v>
      </c>
      <c r="B25" s="14">
        <f>VLOOKUP(A5,мкд!W:Y,3,FALSE)</f>
        <v>726068.01</v>
      </c>
      <c r="C25" s="63"/>
      <c r="D25" s="62"/>
      <c r="E25" s="54"/>
      <c r="F25" s="54"/>
      <c r="G25" s="54"/>
    </row>
    <row r="26" spans="1:7" ht="15.75" hidden="1" x14ac:dyDescent="0.25">
      <c r="A26" s="64" t="s">
        <v>319</v>
      </c>
      <c r="B26" s="14"/>
      <c r="C26" s="57"/>
      <c r="D26" s="59"/>
      <c r="E26" s="54"/>
      <c r="F26" s="54"/>
      <c r="G26" s="54"/>
    </row>
    <row r="27" spans="1:7" ht="16.5" hidden="1" thickBot="1" x14ac:dyDescent="0.3">
      <c r="A27" s="64" t="s">
        <v>248</v>
      </c>
      <c r="B27" s="14">
        <f>B26</f>
        <v>0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7154.31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111197.97</v>
      </c>
      <c r="C32" s="59"/>
      <c r="D32" s="62"/>
      <c r="E32" s="67">
        <f>(B86-B26-B24)/1.2/1.03</f>
        <v>208629.4383176573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v>63314.559999999998</v>
      </c>
      <c r="C33" s="63"/>
      <c r="D33" s="62">
        <v>83473.31</v>
      </c>
      <c r="E33" s="54"/>
      <c r="F33" s="54"/>
      <c r="G33" s="54"/>
    </row>
    <row r="34" spans="1:7" ht="15.75" hidden="1" x14ac:dyDescent="0.25">
      <c r="A34" s="69" t="s">
        <v>320</v>
      </c>
      <c r="B34" s="11">
        <v>0</v>
      </c>
      <c r="C34" s="57"/>
      <c r="D34" s="59">
        <v>0</v>
      </c>
      <c r="E34" s="54"/>
      <c r="F34" s="54"/>
      <c r="G34" s="54"/>
    </row>
    <row r="35" spans="1:7" ht="15.75" x14ac:dyDescent="0.25">
      <c r="A35" s="69" t="s">
        <v>256</v>
      </c>
      <c r="B35" s="11">
        <v>4896.13</v>
      </c>
      <c r="C35" s="62"/>
      <c r="D35" s="59">
        <v>0</v>
      </c>
      <c r="E35" s="54"/>
      <c r="F35" s="54"/>
      <c r="G35" s="54"/>
    </row>
    <row r="36" spans="1:7" ht="15.75" x14ac:dyDescent="0.25">
      <c r="A36" s="69" t="s">
        <v>255</v>
      </c>
      <c r="B36" s="11">
        <v>2902.72</v>
      </c>
      <c r="C36" s="62" t="s">
        <v>234</v>
      </c>
      <c r="D36" s="59">
        <v>0</v>
      </c>
      <c r="E36" s="54"/>
      <c r="F36" s="54"/>
      <c r="G36" s="54"/>
    </row>
    <row r="37" spans="1:7" ht="15.75" hidden="1" x14ac:dyDescent="0.25">
      <c r="A37" s="69" t="s">
        <v>257</v>
      </c>
      <c r="B37" s="11"/>
      <c r="C37" s="62"/>
      <c r="D37" s="59">
        <v>0</v>
      </c>
      <c r="E37" s="54"/>
      <c r="F37" s="54"/>
      <c r="G37" s="54"/>
    </row>
    <row r="38" spans="1:7" ht="15.75" hidden="1" x14ac:dyDescent="0.25">
      <c r="A38" s="69" t="s">
        <v>339</v>
      </c>
      <c r="B38" s="11">
        <v>0</v>
      </c>
      <c r="C38" s="62"/>
      <c r="D38" s="59">
        <v>0</v>
      </c>
      <c r="E38" s="54"/>
      <c r="F38" s="54"/>
      <c r="G38" s="54"/>
    </row>
    <row r="39" spans="1:7" ht="15.75" hidden="1" x14ac:dyDescent="0.25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6.5" thickBot="1" x14ac:dyDescent="0.3">
      <c r="A40" s="69" t="s">
        <v>401</v>
      </c>
      <c r="B40" s="11">
        <v>40084.559999999998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257</v>
      </c>
      <c r="B41" s="11">
        <v>0</v>
      </c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56787.65646112692</v>
      </c>
      <c r="C42" s="56"/>
      <c r="D42" s="62"/>
      <c r="E42" s="67"/>
      <c r="F42" s="67"/>
      <c r="G42" s="67"/>
    </row>
    <row r="43" spans="1:7" ht="15.75" x14ac:dyDescent="0.25">
      <c r="A43" s="69" t="s">
        <v>262</v>
      </c>
      <c r="B43" s="11">
        <v>2448.0700000000002</v>
      </c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26725.159999999996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('[1]34тарифы'!D163*B15+541.82)*1.1194</f>
        <v>27614.426461126925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99903.780000000013</v>
      </c>
      <c r="C46" s="56"/>
      <c r="D46" s="62"/>
    </row>
    <row r="47" spans="1:7" ht="15.75" x14ac:dyDescent="0.25">
      <c r="A47" s="69" t="s">
        <v>324</v>
      </c>
      <c r="B47" s="162">
        <v>5314.2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62">
        <v>6453</v>
      </c>
      <c r="C48" s="62"/>
      <c r="D48" s="59"/>
      <c r="E48" s="54" t="s">
        <v>269</v>
      </c>
      <c r="F48" s="54"/>
      <c r="G48" s="54"/>
    </row>
    <row r="49" spans="1:5" ht="15.75" x14ac:dyDescent="0.25">
      <c r="A49" s="75" t="s">
        <v>387</v>
      </c>
      <c r="B49" s="162">
        <v>7200</v>
      </c>
      <c r="C49" s="62"/>
      <c r="D49" s="59"/>
      <c r="E49" s="54"/>
    </row>
    <row r="50" spans="1:5" ht="15.75" x14ac:dyDescent="0.25">
      <c r="A50" s="75" t="s">
        <v>281</v>
      </c>
      <c r="B50" s="165">
        <v>19.399999999999999</v>
      </c>
      <c r="C50" s="62"/>
      <c r="D50" s="59">
        <v>4190</v>
      </c>
      <c r="E50" s="54"/>
    </row>
    <row r="51" spans="1:5" ht="15.75" x14ac:dyDescent="0.25">
      <c r="A51" s="75" t="s">
        <v>520</v>
      </c>
      <c r="B51" s="162">
        <v>4200</v>
      </c>
      <c r="C51" s="62"/>
      <c r="D51" s="59"/>
      <c r="E51" s="54"/>
    </row>
    <row r="52" spans="1:5" ht="15.75" hidden="1" x14ac:dyDescent="0.25">
      <c r="A52" s="75" t="s">
        <v>273</v>
      </c>
      <c r="B52" s="11">
        <f>B21*'[1]34тарифы'!D177</f>
        <v>0</v>
      </c>
      <c r="C52" s="62"/>
      <c r="D52" s="59">
        <v>105.14</v>
      </c>
      <c r="E52" s="54"/>
    </row>
    <row r="53" spans="1:5" ht="15.75" x14ac:dyDescent="0.25">
      <c r="A53" s="75" t="s">
        <v>274</v>
      </c>
      <c r="B53" s="11">
        <v>15400</v>
      </c>
      <c r="C53" s="62">
        <v>0</v>
      </c>
      <c r="D53" s="59">
        <v>522.99</v>
      </c>
      <c r="E53" s="54"/>
    </row>
    <row r="54" spans="1:5" ht="15.75" x14ac:dyDescent="0.25">
      <c r="A54" s="75" t="s">
        <v>275</v>
      </c>
      <c r="B54" s="11">
        <v>8133.62</v>
      </c>
      <c r="C54" s="62">
        <v>1</v>
      </c>
      <c r="D54" s="76">
        <v>700.55</v>
      </c>
      <c r="E54" s="54"/>
    </row>
    <row r="55" spans="1:5" ht="15.75" hidden="1" x14ac:dyDescent="0.25">
      <c r="A55" s="75" t="s">
        <v>344</v>
      </c>
      <c r="B55" s="11">
        <v>0</v>
      </c>
      <c r="C55" s="62"/>
      <c r="D55" s="76"/>
      <c r="E55" s="54"/>
    </row>
    <row r="56" spans="1:5" ht="15.75" hidden="1" x14ac:dyDescent="0.25">
      <c r="A56" s="75" t="s">
        <v>277</v>
      </c>
      <c r="B56" s="11">
        <v>0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312</v>
      </c>
      <c r="B57" s="11">
        <v>0</v>
      </c>
      <c r="C57" s="62">
        <v>0</v>
      </c>
      <c r="D57" s="59">
        <f>2300/1.18</f>
        <v>1949.1525423728815</v>
      </c>
      <c r="E57" s="54"/>
    </row>
    <row r="58" spans="1:5" ht="15.75" hidden="1" x14ac:dyDescent="0.25">
      <c r="A58" s="75" t="s">
        <v>343</v>
      </c>
      <c r="B58" s="11">
        <v>0</v>
      </c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>
        <v>0</v>
      </c>
      <c r="C59" s="56"/>
      <c r="D59" s="62"/>
      <c r="E59" s="54"/>
    </row>
    <row r="60" spans="1:5" ht="15.75" x14ac:dyDescent="0.25">
      <c r="A60" s="69" t="s">
        <v>531</v>
      </c>
      <c r="B60" s="162">
        <v>20063.84</v>
      </c>
      <c r="C60" s="57"/>
      <c r="D60" s="59"/>
      <c r="E60" s="54"/>
    </row>
    <row r="61" spans="1:5" ht="15.75" hidden="1" x14ac:dyDescent="0.25">
      <c r="A61" s="69" t="s">
        <v>387</v>
      </c>
      <c r="B61" s="11">
        <v>0</v>
      </c>
      <c r="C61" s="62"/>
      <c r="D61" s="59">
        <v>0</v>
      </c>
      <c r="E61" s="54"/>
    </row>
    <row r="62" spans="1:5" ht="15.75" hidden="1" x14ac:dyDescent="0.25">
      <c r="A62" s="69" t="s">
        <v>477</v>
      </c>
      <c r="B62" s="11">
        <v>0</v>
      </c>
      <c r="C62" s="62"/>
      <c r="D62" s="59">
        <v>0</v>
      </c>
      <c r="E62" s="54"/>
    </row>
    <row r="63" spans="1:5" ht="16.5" thickBot="1" x14ac:dyDescent="0.3">
      <c r="A63" s="69" t="s">
        <v>478</v>
      </c>
      <c r="B63" s="162">
        <v>33119.72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100</v>
      </c>
      <c r="D64" s="62">
        <v>2</v>
      </c>
      <c r="E64" s="54">
        <v>1</v>
      </c>
    </row>
    <row r="65" spans="1:4" s="55" customFormat="1" ht="16.5" hidden="1" thickBot="1" x14ac:dyDescent="0.3">
      <c r="A65" s="69" t="s">
        <v>284</v>
      </c>
      <c r="B65" s="132">
        <v>0</v>
      </c>
      <c r="C65" s="80">
        <v>100</v>
      </c>
      <c r="D65" s="73">
        <f>650/1.18</f>
        <v>550.84745762711873</v>
      </c>
    </row>
    <row r="66" spans="1:4" ht="16.5" thickBot="1" x14ac:dyDescent="0.3">
      <c r="A66" s="175" t="s">
        <v>285</v>
      </c>
      <c r="B66" s="121">
        <f>SUM(B67:B74)</f>
        <v>304019.78979837475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95859*1.04*1.1194*1.09</f>
        <v>121640.45443056</v>
      </c>
      <c r="C68" s="56">
        <f>B68/B16</f>
        <v>46.052670783907125</v>
      </c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6139.2600000000011</v>
      </c>
      <c r="C70" s="60"/>
      <c r="D70" s="73"/>
    </row>
    <row r="71" spans="1:4" ht="15.75" x14ac:dyDescent="0.25">
      <c r="A71" s="74" t="s">
        <v>290</v>
      </c>
      <c r="B71" s="11">
        <f>5.06*B15</f>
        <v>23010.856</v>
      </c>
      <c r="C71" s="81"/>
      <c r="D71" s="60"/>
    </row>
    <row r="72" spans="1:4" ht="15.75" x14ac:dyDescent="0.25">
      <c r="A72" s="74" t="s">
        <v>291</v>
      </c>
      <c r="B72" s="11">
        <f>17.68*B15</f>
        <v>80401.567999999999</v>
      </c>
      <c r="C72" s="73"/>
      <c r="D72" s="60"/>
    </row>
    <row r="73" spans="1:4" ht="15.75" x14ac:dyDescent="0.25">
      <c r="A73" s="25" t="s">
        <v>292</v>
      </c>
      <c r="B73" s="11">
        <f>7881*1.04*1.1194*1.0952</f>
        <v>10048.318780531199</v>
      </c>
      <c r="C73" s="73"/>
      <c r="D73" s="60"/>
    </row>
    <row r="74" spans="1:4" ht="15.75" x14ac:dyDescent="0.25">
      <c r="A74" s="74" t="s">
        <v>293</v>
      </c>
      <c r="B74" s="11">
        <f>(66546.17*1.04-18000)*1.1194*1.0952</f>
        <v>62779.332587283578</v>
      </c>
      <c r="C74" s="73"/>
      <c r="D74" s="60">
        <v>69208.016799999998</v>
      </c>
    </row>
    <row r="75" spans="1:4" ht="47.25" x14ac:dyDescent="0.25">
      <c r="A75" s="213" t="s">
        <v>326</v>
      </c>
      <c r="B75" s="121">
        <f>B76</f>
        <v>107329.59999999999</v>
      </c>
      <c r="C75" s="73"/>
      <c r="D75" s="60">
        <v>138183.50016556215</v>
      </c>
    </row>
    <row r="76" spans="1:4" s="55" customFormat="1" ht="15.75" x14ac:dyDescent="0.25">
      <c r="A76" s="74" t="s">
        <v>295</v>
      </c>
      <c r="B76" s="11">
        <f>98000*1.0952</f>
        <v>107329.59999999999</v>
      </c>
      <c r="C76" s="73"/>
      <c r="D76" s="60"/>
    </row>
    <row r="77" spans="1:4" ht="15.75" x14ac:dyDescent="0.25">
      <c r="A77" s="175" t="s">
        <v>296</v>
      </c>
      <c r="B77" s="121">
        <f>SUM(B78:B81)</f>
        <v>140392.48671834974</v>
      </c>
      <c r="C77" s="73"/>
      <c r="D77" s="60"/>
    </row>
    <row r="78" spans="1:4" ht="32.25" thickBot="1" x14ac:dyDescent="0.3">
      <c r="A78" s="82" t="s">
        <v>327</v>
      </c>
      <c r="B78" s="11">
        <f>98980*1.0952</f>
        <v>108402.89599999999</v>
      </c>
      <c r="C78" s="63"/>
      <c r="D78" s="60"/>
    </row>
    <row r="79" spans="1:4" ht="16.5" hidden="1" thickBot="1" x14ac:dyDescent="0.3">
      <c r="A79" s="35" t="s">
        <v>298</v>
      </c>
      <c r="B79" s="11">
        <f>(B26/1.2)*30%</f>
        <v>0</v>
      </c>
      <c r="C79" s="65"/>
      <c r="D79" s="73"/>
    </row>
    <row r="80" spans="1:4" ht="15.75" x14ac:dyDescent="0.25">
      <c r="A80" s="83" t="s">
        <v>328</v>
      </c>
      <c r="B80" s="11">
        <f>13354.8+8543.7</f>
        <v>21898.5</v>
      </c>
      <c r="C80" s="81"/>
      <c r="D80" s="60"/>
    </row>
    <row r="81" spans="1:4" ht="15.75" x14ac:dyDescent="0.25">
      <c r="A81" s="83" t="s">
        <v>329</v>
      </c>
      <c r="B81" s="11">
        <f>'[1]34тарифы'!D173*B13*1.1194*1.01</f>
        <v>10091.090718349753</v>
      </c>
      <c r="C81" s="73"/>
      <c r="D81" s="60"/>
    </row>
    <row r="82" spans="1:4" ht="15.75" x14ac:dyDescent="0.25">
      <c r="A82" s="214" t="s">
        <v>301</v>
      </c>
      <c r="B82" s="14">
        <f>B32+B42+B46+B66+B75+B77</f>
        <v>819631.28297785134</v>
      </c>
      <c r="C82" s="73"/>
      <c r="D82" s="60"/>
    </row>
    <row r="83" spans="1:4" s="68" customFormat="1" ht="15.75" x14ac:dyDescent="0.25">
      <c r="A83" s="215" t="s">
        <v>302</v>
      </c>
      <c r="B83" s="11">
        <f>B82*0.03</f>
        <v>24588.938489335538</v>
      </c>
      <c r="C83" s="73"/>
      <c r="D83" s="60"/>
    </row>
    <row r="84" spans="1:4" ht="15.75" x14ac:dyDescent="0.25">
      <c r="A84" s="216" t="s">
        <v>303</v>
      </c>
      <c r="B84" s="121">
        <f>B82+B83</f>
        <v>844220.22146718693</v>
      </c>
      <c r="C84" s="73"/>
      <c r="D84" s="60"/>
    </row>
    <row r="85" spans="1:4" s="55" customFormat="1" ht="16.5" thickBot="1" x14ac:dyDescent="0.3">
      <c r="A85" s="217" t="s">
        <v>304</v>
      </c>
      <c r="B85" s="142">
        <f>B84*0.2</f>
        <v>168844.04429343739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1013064.2657606243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-364783.96576062439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41000000}">
    <filterColumn colId="1">
      <filters>
        <filter val="1 013 064,27"/>
        <filter val="10 048,32"/>
        <filter val="10 091,09"/>
        <filter val="107 329,60"/>
        <filter val="108 402,90"/>
        <filter val="111 197,97"/>
        <filter val="121 640,45"/>
        <filter val="140 392,49"/>
        <filter val="15 400,00"/>
        <filter val="168 844,04"/>
        <filter val="19,40"/>
        <filter val="2 448,07"/>
        <filter val="2 902,72"/>
        <filter val="20 063,84"/>
        <filter val="21 898,50"/>
        <filter val="23 010,86"/>
        <filter val="24 588,94"/>
        <filter val="26 725,16"/>
        <filter val="27 614,43"/>
        <filter val="304 019,79"/>
        <filter val="33 119,72"/>
        <filter val="-364 783,97"/>
        <filter val="4 200,00"/>
        <filter val="4 896,13"/>
        <filter val="40 084,56"/>
        <filter val="5 314,20"/>
        <filter val="56 787,66"/>
        <filter val="6 139,26"/>
        <filter val="6 453,00"/>
        <filter val="62 779,33"/>
        <filter val="63 314,56"/>
        <filter val="7 200,00"/>
        <filter val="8 133,62"/>
        <filter val="80 401,57"/>
        <filter val="819 631,28"/>
        <filter val="844 220,22"/>
        <filter val="99 903,78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0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filterMode="1">
    <pageSetUpPr fitToPage="1"/>
  </sheetPr>
  <dimension ref="A1:G95"/>
  <sheetViews>
    <sheetView view="pageBreakPreview" topLeftCell="A73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176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-154471.32999999999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1645.6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128</v>
      </c>
      <c r="C14" s="60"/>
      <c r="D14" s="59"/>
    </row>
    <row r="15" spans="1:4" ht="15.75" hidden="1" x14ac:dyDescent="0.25">
      <c r="A15" s="58" t="s">
        <v>237</v>
      </c>
      <c r="B15" s="11">
        <f>B13+B14</f>
        <v>1773.6</v>
      </c>
      <c r="C15" s="61"/>
      <c r="D15" s="62"/>
    </row>
    <row r="16" spans="1:4" ht="16.5" hidden="1" thickBot="1" x14ac:dyDescent="0.3">
      <c r="A16" s="58" t="s">
        <v>238</v>
      </c>
      <c r="B16" s="11">
        <f>868+1052/3</f>
        <v>1218.6666666666667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456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659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98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/>
      <c r="F23" s="54"/>
      <c r="G23" s="54"/>
    </row>
    <row r="24" spans="1:7" ht="15.75" x14ac:dyDescent="0.25">
      <c r="A24" s="258" t="s">
        <v>317</v>
      </c>
      <c r="B24" s="255">
        <f>VLOOKUP(A5,мкд!W:X,2,FALSE)</f>
        <v>409723.36</v>
      </c>
      <c r="C24" s="59"/>
      <c r="D24" s="62"/>
      <c r="E24" s="194">
        <v>20.49</v>
      </c>
      <c r="F24" s="54"/>
      <c r="G24" s="54"/>
    </row>
    <row r="25" spans="1:7" ht="16.5" thickBot="1" x14ac:dyDescent="0.3">
      <c r="A25" s="64" t="s">
        <v>318</v>
      </c>
      <c r="B25" s="14">
        <f>VLOOKUP(A5,мкд!W:Y,3,FALSE)</f>
        <v>385238.92</v>
      </c>
      <c r="C25" s="63"/>
      <c r="D25" s="62"/>
      <c r="E25" s="54"/>
      <c r="F25" s="54"/>
      <c r="G25" s="54"/>
    </row>
    <row r="26" spans="1:7" ht="15.75" x14ac:dyDescent="0.25">
      <c r="A26" s="64" t="s">
        <v>348</v>
      </c>
      <c r="B26" s="14">
        <v>31667.200000000001</v>
      </c>
      <c r="C26" s="57"/>
      <c r="D26" s="59"/>
      <c r="E26" s="54"/>
      <c r="F26" s="54"/>
      <c r="G26" s="54"/>
    </row>
    <row r="27" spans="1:7" ht="16.5" thickBot="1" x14ac:dyDescent="0.3">
      <c r="A27" s="64" t="s">
        <v>349</v>
      </c>
      <c r="B27" s="14">
        <v>35991.089999999997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7154.31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65573.510000000009</v>
      </c>
      <c r="C32" s="59"/>
      <c r="D32" s="62"/>
      <c r="E32" s="67">
        <f>(B86-B26-B24)/1.2/1.03</f>
        <v>34243.044082337146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v>36311.21</v>
      </c>
      <c r="C33" s="63"/>
      <c r="D33" s="62">
        <v>16148.4</v>
      </c>
      <c r="E33" s="54"/>
      <c r="F33" s="54"/>
      <c r="G33" s="54"/>
    </row>
    <row r="34" spans="1:7" ht="15.75" hidden="1" x14ac:dyDescent="0.25">
      <c r="A34" s="69" t="s">
        <v>320</v>
      </c>
      <c r="B34" s="11">
        <v>0</v>
      </c>
      <c r="C34" s="57"/>
      <c r="D34" s="59">
        <v>0</v>
      </c>
      <c r="E34" s="54"/>
      <c r="F34" s="54"/>
      <c r="G34" s="54"/>
    </row>
    <row r="35" spans="1:7" ht="15.75" hidden="1" x14ac:dyDescent="0.25">
      <c r="A35" s="69" t="s">
        <v>256</v>
      </c>
      <c r="B35" s="11">
        <v>0</v>
      </c>
      <c r="C35" s="62"/>
      <c r="D35" s="59">
        <v>0</v>
      </c>
      <c r="E35" s="54"/>
      <c r="F35" s="54"/>
      <c r="G35" s="54"/>
    </row>
    <row r="36" spans="1:7" ht="15.75" x14ac:dyDescent="0.25">
      <c r="A36" s="69" t="s">
        <v>255</v>
      </c>
      <c r="B36" s="11">
        <v>16024.34</v>
      </c>
      <c r="C36" s="62" t="s">
        <v>234</v>
      </c>
      <c r="D36" s="59">
        <v>0</v>
      </c>
      <c r="E36" s="54"/>
      <c r="F36" s="54"/>
      <c r="G36" s="54"/>
    </row>
    <row r="37" spans="1:7" ht="15.75" x14ac:dyDescent="0.25">
      <c r="A37" s="69" t="s">
        <v>257</v>
      </c>
      <c r="B37" s="11">
        <v>3014.85</v>
      </c>
      <c r="C37" s="62"/>
      <c r="D37" s="59">
        <v>0</v>
      </c>
      <c r="E37" s="54"/>
      <c r="F37" s="54"/>
      <c r="G37" s="54"/>
    </row>
    <row r="38" spans="1:7" ht="16.5" thickBot="1" x14ac:dyDescent="0.3">
      <c r="A38" s="172" t="s">
        <v>401</v>
      </c>
      <c r="B38" s="11">
        <v>10223.11</v>
      </c>
      <c r="C38" s="62"/>
      <c r="D38" s="59">
        <v>0</v>
      </c>
      <c r="E38" s="54"/>
      <c r="F38" s="54"/>
      <c r="G38" s="54"/>
    </row>
    <row r="39" spans="1:7" ht="16.5" hidden="1" thickBot="1" x14ac:dyDescent="0.3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6.5" hidden="1" thickBot="1" x14ac:dyDescent="0.3">
      <c r="A40" s="69" t="s">
        <v>338</v>
      </c>
      <c r="B40" s="11">
        <v>0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255</v>
      </c>
      <c r="B41" s="11">
        <v>0</v>
      </c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14920.237490355477</v>
      </c>
      <c r="C42" s="56"/>
      <c r="D42" s="62"/>
      <c r="E42" s="67"/>
      <c r="F42" s="67"/>
      <c r="G42" s="67"/>
    </row>
    <row r="43" spans="1:7" ht="15.75" hidden="1" x14ac:dyDescent="0.25">
      <c r="A43" s="69" t="s">
        <v>262</v>
      </c>
      <c r="B43" s="11"/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2832.09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('[1]34тарифы'!D163*B15+450.32)*1.1194*1.0952</f>
        <v>12088.147490355477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45834.67</v>
      </c>
      <c r="C46" s="56"/>
      <c r="D46" s="62"/>
    </row>
    <row r="47" spans="1:7" ht="15.75" x14ac:dyDescent="0.25">
      <c r="A47" s="69" t="s">
        <v>324</v>
      </c>
      <c r="B47" s="162">
        <v>1915.2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62">
        <v>2325.6</v>
      </c>
      <c r="C48" s="62"/>
      <c r="D48" s="59"/>
      <c r="E48" s="54" t="s">
        <v>269</v>
      </c>
      <c r="F48" s="54"/>
      <c r="G48" s="54"/>
    </row>
    <row r="49" spans="1:5" ht="15.75" x14ac:dyDescent="0.25">
      <c r="A49" s="75" t="s">
        <v>281</v>
      </c>
      <c r="B49" s="11">
        <v>16.170000000000002</v>
      </c>
      <c r="C49" s="62"/>
      <c r="D49" s="59"/>
      <c r="E49" s="54"/>
    </row>
    <row r="50" spans="1:5" ht="15.75" x14ac:dyDescent="0.25">
      <c r="A50" s="75" t="s">
        <v>520</v>
      </c>
      <c r="B50" s="162">
        <v>4200</v>
      </c>
      <c r="C50" s="62"/>
      <c r="D50" s="59">
        <v>4190</v>
      </c>
      <c r="E50" s="54"/>
    </row>
    <row r="51" spans="1:5" ht="15.75" hidden="1" x14ac:dyDescent="0.25">
      <c r="A51" s="75" t="s">
        <v>343</v>
      </c>
      <c r="B51" s="11">
        <v>0</v>
      </c>
      <c r="C51" s="62"/>
      <c r="D51" s="59"/>
      <c r="E51" s="54"/>
    </row>
    <row r="52" spans="1:5" ht="15.75" x14ac:dyDescent="0.25">
      <c r="A52" s="75" t="s">
        <v>532</v>
      </c>
      <c r="B52" s="11">
        <v>15912</v>
      </c>
      <c r="C52" s="62"/>
      <c r="D52" s="59">
        <v>105.14</v>
      </c>
      <c r="E52" s="54"/>
    </row>
    <row r="53" spans="1:5" ht="15.75" hidden="1" x14ac:dyDescent="0.25">
      <c r="A53" s="75" t="s">
        <v>281</v>
      </c>
      <c r="B53" s="11">
        <v>0</v>
      </c>
      <c r="C53" s="62">
        <v>0</v>
      </c>
      <c r="D53" s="59">
        <v>522.99</v>
      </c>
      <c r="E53" s="54"/>
    </row>
    <row r="54" spans="1:5" ht="15.75" x14ac:dyDescent="0.25">
      <c r="A54" s="95" t="s">
        <v>353</v>
      </c>
      <c r="B54" s="11">
        <v>8133.61</v>
      </c>
      <c r="C54" s="62">
        <v>0</v>
      </c>
      <c r="D54" s="76">
        <v>695.13</v>
      </c>
      <c r="E54" s="54"/>
    </row>
    <row r="55" spans="1:5" ht="15.75" hidden="1" x14ac:dyDescent="0.25">
      <c r="A55" s="75" t="s">
        <v>276</v>
      </c>
      <c r="B55" s="11">
        <v>0</v>
      </c>
      <c r="C55" s="62"/>
      <c r="D55" s="76"/>
      <c r="E55" s="54"/>
    </row>
    <row r="56" spans="1:5" ht="15.75" hidden="1" x14ac:dyDescent="0.25">
      <c r="A56" s="75" t="s">
        <v>277</v>
      </c>
      <c r="B56" s="11">
        <v>0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312</v>
      </c>
      <c r="B57" s="11">
        <v>0</v>
      </c>
      <c r="C57" s="62">
        <v>0</v>
      </c>
      <c r="D57" s="59">
        <f>2300/1.18</f>
        <v>1949.1525423728815</v>
      </c>
      <c r="E57" s="54"/>
    </row>
    <row r="58" spans="1:5" ht="15.75" hidden="1" x14ac:dyDescent="0.25">
      <c r="A58" s="75" t="s">
        <v>313</v>
      </c>
      <c r="B58" s="11">
        <v>0</v>
      </c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</row>
    <row r="60" spans="1:5" ht="15.75" hidden="1" x14ac:dyDescent="0.25">
      <c r="A60" s="69" t="s">
        <v>279</v>
      </c>
      <c r="B60" s="11">
        <v>0</v>
      </c>
      <c r="C60" s="57"/>
      <c r="D60" s="59"/>
      <c r="E60" s="54"/>
    </row>
    <row r="61" spans="1:5" ht="15.75" hidden="1" x14ac:dyDescent="0.25">
      <c r="A61" s="69" t="s">
        <v>280</v>
      </c>
      <c r="B61" s="11">
        <v>0</v>
      </c>
      <c r="C61" s="62"/>
      <c r="D61" s="59">
        <v>0</v>
      </c>
      <c r="E61" s="54"/>
    </row>
    <row r="62" spans="1:5" ht="15.75" hidden="1" x14ac:dyDescent="0.25">
      <c r="A62" s="69" t="s">
        <v>336</v>
      </c>
      <c r="B62" s="11">
        <v>0</v>
      </c>
      <c r="C62" s="62"/>
      <c r="D62" s="59">
        <v>0</v>
      </c>
      <c r="E62" s="54"/>
    </row>
    <row r="63" spans="1:5" ht="16.5" thickBot="1" x14ac:dyDescent="0.3">
      <c r="A63" s="69" t="s">
        <v>337</v>
      </c>
      <c r="B63" s="162">
        <v>13332.09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37</v>
      </c>
      <c r="D64" s="62">
        <v>2</v>
      </c>
      <c r="E64" s="54">
        <v>1</v>
      </c>
    </row>
    <row r="65" spans="1:4" s="55" customFormat="1" ht="16.5" hidden="1" thickBot="1" x14ac:dyDescent="0.3">
      <c r="A65" s="69" t="s">
        <v>284</v>
      </c>
      <c r="B65" s="132">
        <v>0</v>
      </c>
      <c r="C65" s="80">
        <v>38</v>
      </c>
      <c r="D65" s="73">
        <f>650/1.18</f>
        <v>550.84745762711873</v>
      </c>
    </row>
    <row r="66" spans="1:4" ht="16.5" thickBot="1" x14ac:dyDescent="0.3">
      <c r="A66" s="175" t="s">
        <v>285</v>
      </c>
      <c r="B66" s="121">
        <f>SUM(B67:B74)</f>
        <v>136366.25699055361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44417*1.04*1.1194*1.0952</f>
        <v>56631.921745318396</v>
      </c>
      <c r="C68" s="56"/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2394.36</v>
      </c>
      <c r="C70" s="60"/>
      <c r="D70" s="73"/>
    </row>
    <row r="71" spans="1:4" ht="15.75" x14ac:dyDescent="0.25">
      <c r="A71" s="74" t="s">
        <v>290</v>
      </c>
      <c r="B71" s="11">
        <f>5.06*B15</f>
        <v>8974.4159999999993</v>
      </c>
      <c r="C71" s="81"/>
      <c r="D71" s="60"/>
    </row>
    <row r="72" spans="1:4" ht="15.75" x14ac:dyDescent="0.25">
      <c r="A72" s="74" t="s">
        <v>291</v>
      </c>
      <c r="B72" s="11">
        <f>17.68*B15</f>
        <v>31357.248</v>
      </c>
      <c r="C72" s="73"/>
      <c r="D72" s="60"/>
    </row>
    <row r="73" spans="1:4" ht="15.75" x14ac:dyDescent="0.25">
      <c r="A73" s="25" t="s">
        <v>292</v>
      </c>
      <c r="B73" s="11">
        <f>3073*1.04*1.1194*1.0952</f>
        <v>3918.0920711295998</v>
      </c>
      <c r="C73" s="73"/>
      <c r="D73" s="60"/>
    </row>
    <row r="74" spans="1:4" ht="15.75" x14ac:dyDescent="0.25">
      <c r="A74" s="74" t="s">
        <v>293</v>
      </c>
      <c r="B74" s="11">
        <f>25953*1.04*1.1194*1.0952</f>
        <v>33090.219174105601</v>
      </c>
      <c r="C74" s="73"/>
      <c r="D74" s="60"/>
    </row>
    <row r="75" spans="1:4" ht="47.25" x14ac:dyDescent="0.25">
      <c r="A75" s="213" t="s">
        <v>326</v>
      </c>
      <c r="B75" s="121">
        <f>SUM(B76:B76)</f>
        <v>61302.325203824119</v>
      </c>
      <c r="C75" s="73"/>
      <c r="D75" s="60"/>
    </row>
    <row r="76" spans="1:4" s="55" customFormat="1" ht="15.75" x14ac:dyDescent="0.25">
      <c r="A76" s="74" t="s">
        <v>295</v>
      </c>
      <c r="B76" s="11">
        <f>'[1]34ОЭР'!D203*1.1194*1.0952</f>
        <v>61302.325203824119</v>
      </c>
      <c r="C76" s="73"/>
      <c r="D76" s="60"/>
    </row>
    <row r="77" spans="1:4" ht="15.75" x14ac:dyDescent="0.25">
      <c r="A77" s="175" t="s">
        <v>296</v>
      </c>
      <c r="B77" s="121">
        <f>SUM(B78:B81)</f>
        <v>67358.14795747443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'[1]34тарифы'!D170*B15*1.1194*1.0952</f>
        <v>46853.733745556856</v>
      </c>
      <c r="C78" s="63"/>
      <c r="D78" s="60"/>
    </row>
    <row r="79" spans="1:4" ht="16.5" thickBot="1" x14ac:dyDescent="0.3">
      <c r="A79" s="35" t="s">
        <v>298</v>
      </c>
      <c r="B79" s="11">
        <f>(B26/1.2)*30%</f>
        <v>7916.8</v>
      </c>
      <c r="C79" s="65"/>
      <c r="D79" s="73"/>
    </row>
    <row r="80" spans="1:4" ht="15.75" x14ac:dyDescent="0.25">
      <c r="A80" s="83" t="s">
        <v>328</v>
      </c>
      <c r="B80" s="11">
        <f>4938.33+3997.71</f>
        <v>8936.0400000000009</v>
      </c>
      <c r="C80" s="81"/>
      <c r="D80" s="60"/>
    </row>
    <row r="81" spans="1:4" ht="15.75" x14ac:dyDescent="0.25">
      <c r="A81" s="83" t="s">
        <v>329</v>
      </c>
      <c r="B81" s="11">
        <f>'[1]34тарифы'!D173*B13*1.1194*1.01</f>
        <v>3651.5742119175716</v>
      </c>
      <c r="C81" s="73"/>
      <c r="D81" s="60"/>
    </row>
    <row r="82" spans="1:4" ht="15.75" x14ac:dyDescent="0.25">
      <c r="A82" s="214" t="s">
        <v>301</v>
      </c>
      <c r="B82" s="14">
        <f>B32+B42+B46+B66+B75+B77</f>
        <v>391355.14764220768</v>
      </c>
      <c r="C82" s="73"/>
      <c r="D82" s="60"/>
    </row>
    <row r="83" spans="1:4" s="68" customFormat="1" ht="15.75" x14ac:dyDescent="0.25">
      <c r="A83" s="215" t="s">
        <v>302</v>
      </c>
      <c r="B83" s="11">
        <f>B82*0.03</f>
        <v>11740.654429266229</v>
      </c>
      <c r="C83" s="73"/>
      <c r="D83" s="60"/>
    </row>
    <row r="84" spans="1:4" ht="15.75" x14ac:dyDescent="0.25">
      <c r="A84" s="216" t="s">
        <v>303</v>
      </c>
      <c r="B84" s="121">
        <f>B82+B83</f>
        <v>403095.80207147391</v>
      </c>
      <c r="C84" s="73"/>
      <c r="D84" s="60"/>
    </row>
    <row r="85" spans="1:4" s="55" customFormat="1" ht="16.5" thickBot="1" x14ac:dyDescent="0.3">
      <c r="A85" s="217" t="s">
        <v>304</v>
      </c>
      <c r="B85" s="142">
        <f>B84*0.2</f>
        <v>80619.160414294791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483714.96248576872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-189641.42248576874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42000000}">
    <filterColumn colId="1">
      <filters>
        <filter val="1 915,20"/>
        <filter val="10 223,11"/>
        <filter val="11 740,65"/>
        <filter val="12 088,15"/>
        <filter val="13 332,09"/>
        <filter val="136 366,26"/>
        <filter val="14 920,24"/>
        <filter val="15 912,00"/>
        <filter val="16 024,34"/>
        <filter val="16,17"/>
        <filter val="-189 641,42"/>
        <filter val="2 325,60"/>
        <filter val="2 394,36"/>
        <filter val="2 832,09"/>
        <filter val="3 014,85"/>
        <filter val="3 651,57"/>
        <filter val="3 918,09"/>
        <filter val="31 357,25"/>
        <filter val="33 090,22"/>
        <filter val="36 311,21"/>
        <filter val="391 355,15"/>
        <filter val="4 200,00"/>
        <filter val="403 095,80"/>
        <filter val="45 834,67"/>
        <filter val="46 853,73"/>
        <filter val="483 714,96"/>
        <filter val="56 631,92"/>
        <filter val="61 302,33"/>
        <filter val="65 573,51"/>
        <filter val="67 358,15"/>
        <filter val="7 916,80"/>
        <filter val="8 133,61"/>
        <filter val="8 936,04"/>
        <filter val="8 974,42"/>
        <filter val="80 619,16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0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filterMode="1">
    <pageSetUpPr fitToPage="1"/>
  </sheetPr>
  <dimension ref="A1:G95"/>
  <sheetViews>
    <sheetView view="pageBreakPreview" topLeftCell="A73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177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-694712.02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2527.8000000000002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0</v>
      </c>
      <c r="C14" s="60"/>
      <c r="D14" s="59"/>
    </row>
    <row r="15" spans="1:4" ht="15.75" hidden="1" x14ac:dyDescent="0.25">
      <c r="A15" s="58" t="s">
        <v>237</v>
      </c>
      <c r="B15" s="11">
        <f>B13+B14</f>
        <v>2527.8000000000002</v>
      </c>
      <c r="C15" s="61"/>
      <c r="D15" s="62"/>
    </row>
    <row r="16" spans="1:4" ht="16.5" hidden="1" thickBot="1" x14ac:dyDescent="0.3">
      <c r="A16" s="58" t="s">
        <v>238</v>
      </c>
      <c r="B16" s="11">
        <f>1136.2+1726.5/3</f>
        <v>1711.7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640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842.5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140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489718.08</v>
      </c>
      <c r="C24" s="59"/>
      <c r="D24" s="62"/>
      <c r="E24" s="194">
        <v>14.649999999999999</v>
      </c>
      <c r="F24" s="195">
        <v>16.399209999999997</v>
      </c>
      <c r="G24" s="54"/>
    </row>
    <row r="25" spans="1:7" ht="16.5" thickBot="1" x14ac:dyDescent="0.3">
      <c r="A25" s="64" t="s">
        <v>318</v>
      </c>
      <c r="B25" s="14">
        <f>VLOOKUP(A5,мкд!W:Y,3,FALSE)</f>
        <v>476739.45999999996</v>
      </c>
      <c r="C25" s="63"/>
      <c r="D25" s="62"/>
      <c r="E25" s="54"/>
      <c r="F25" s="54"/>
      <c r="G25" s="54"/>
    </row>
    <row r="26" spans="1:7" ht="15.75" x14ac:dyDescent="0.25">
      <c r="A26" s="64" t="s">
        <v>348</v>
      </c>
      <c r="B26" s="14">
        <v>8049.12</v>
      </c>
      <c r="C26" s="57"/>
      <c r="D26" s="59"/>
      <c r="E26" s="54"/>
      <c r="F26" s="54"/>
      <c r="G26" s="54"/>
    </row>
    <row r="27" spans="1:7" ht="16.5" thickBot="1" x14ac:dyDescent="0.3">
      <c r="A27" s="64" t="s">
        <v>349</v>
      </c>
      <c r="B27" s="14">
        <v>15024.16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7154.31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95498.870293907195</v>
      </c>
      <c r="C32" s="59"/>
      <c r="D32" s="62"/>
      <c r="E32" s="67">
        <f>(B86-B26-B24)/1.2/1.03</f>
        <v>191762.98488063121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f>22196.44*1.1194*1.0952+2000</f>
        <v>29212.100293907195</v>
      </c>
      <c r="C33" s="63"/>
      <c r="D33" s="62">
        <v>18223.22</v>
      </c>
      <c r="E33" s="54"/>
      <c r="F33" s="54"/>
      <c r="G33" s="54"/>
    </row>
    <row r="34" spans="1:7" ht="15.75" hidden="1" x14ac:dyDescent="0.25">
      <c r="A34" s="69" t="s">
        <v>320</v>
      </c>
      <c r="B34" s="11">
        <v>0</v>
      </c>
      <c r="C34" s="57"/>
      <c r="D34" s="59">
        <v>0</v>
      </c>
      <c r="E34" s="54"/>
      <c r="F34" s="54"/>
      <c r="G34" s="54"/>
    </row>
    <row r="35" spans="1:7" ht="15.75" hidden="1" x14ac:dyDescent="0.25">
      <c r="A35" s="69" t="s">
        <v>256</v>
      </c>
      <c r="B35" s="11"/>
      <c r="C35" s="62"/>
      <c r="D35" s="59">
        <v>0</v>
      </c>
      <c r="E35" s="54"/>
      <c r="F35" s="54"/>
      <c r="G35" s="54"/>
    </row>
    <row r="36" spans="1:7" ht="15.75" x14ac:dyDescent="0.25">
      <c r="A36" s="69" t="s">
        <v>255</v>
      </c>
      <c r="B36" s="11">
        <v>53507.880000000005</v>
      </c>
      <c r="C36" s="62" t="s">
        <v>234</v>
      </c>
      <c r="D36" s="59">
        <v>0</v>
      </c>
      <c r="E36" s="54"/>
      <c r="F36" s="54"/>
      <c r="G36" s="54"/>
    </row>
    <row r="37" spans="1:7" ht="15.75" hidden="1" x14ac:dyDescent="0.25">
      <c r="A37" s="172" t="s">
        <v>257</v>
      </c>
      <c r="B37" s="11">
        <v>0</v>
      </c>
      <c r="C37" s="62"/>
      <c r="D37" s="59">
        <v>0</v>
      </c>
      <c r="E37" s="54"/>
      <c r="F37" s="54"/>
      <c r="G37" s="54"/>
    </row>
    <row r="38" spans="1:7" ht="16.5" thickBot="1" x14ac:dyDescent="0.3">
      <c r="A38" s="172" t="s">
        <v>401</v>
      </c>
      <c r="B38" s="11">
        <v>12778.89</v>
      </c>
      <c r="C38" s="62"/>
      <c r="D38" s="59">
        <v>0</v>
      </c>
      <c r="E38" s="54"/>
      <c r="F38" s="54"/>
      <c r="G38" s="54"/>
    </row>
    <row r="39" spans="1:7" ht="16.5" hidden="1" thickBot="1" x14ac:dyDescent="0.3">
      <c r="A39" s="69" t="s">
        <v>476</v>
      </c>
      <c r="B39" s="11">
        <v>0</v>
      </c>
      <c r="C39" s="62"/>
      <c r="D39" s="59">
        <v>0</v>
      </c>
      <c r="E39" s="54"/>
      <c r="F39" s="54"/>
      <c r="G39" s="54"/>
    </row>
    <row r="40" spans="1:7" ht="16.5" hidden="1" thickBot="1" x14ac:dyDescent="0.3">
      <c r="A40" s="69" t="s">
        <v>310</v>
      </c>
      <c r="B40" s="11">
        <v>0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339</v>
      </c>
      <c r="B41" s="11">
        <v>0</v>
      </c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45742.799516049214</v>
      </c>
      <c r="C42" s="56"/>
      <c r="D42" s="62"/>
      <c r="E42" s="67"/>
      <c r="F42" s="67"/>
      <c r="G42" s="67"/>
    </row>
    <row r="43" spans="1:7" ht="15.75" hidden="1" x14ac:dyDescent="0.25">
      <c r="A43" s="69" t="s">
        <v>262</v>
      </c>
      <c r="B43" s="11"/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28839.53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('[1]34тарифы'!D163*B15+376.55)*1.1194*1.0952</f>
        <v>16903.269516049211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78611.399999999994</v>
      </c>
      <c r="C46" s="56"/>
      <c r="D46" s="62"/>
    </row>
    <row r="47" spans="1:7" ht="15.75" x14ac:dyDescent="0.25">
      <c r="A47" s="69" t="s">
        <v>324</v>
      </c>
      <c r="B47" s="162">
        <v>2688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62">
        <v>3264</v>
      </c>
      <c r="C48" s="62"/>
      <c r="D48" s="59"/>
      <c r="E48" s="54" t="s">
        <v>269</v>
      </c>
      <c r="F48" s="54"/>
      <c r="G48" s="54"/>
    </row>
    <row r="49" spans="1:5" ht="15.75" x14ac:dyDescent="0.25">
      <c r="A49" s="75" t="s">
        <v>281</v>
      </c>
      <c r="B49" s="11">
        <v>183.15</v>
      </c>
      <c r="C49" s="62"/>
      <c r="D49" s="59"/>
      <c r="E49" s="54"/>
    </row>
    <row r="50" spans="1:5" ht="15.75" hidden="1" x14ac:dyDescent="0.25">
      <c r="A50" s="75" t="s">
        <v>271</v>
      </c>
      <c r="B50" s="11">
        <v>0</v>
      </c>
      <c r="C50" s="62"/>
      <c r="D50" s="59">
        <v>4190</v>
      </c>
      <c r="E50" s="54"/>
    </row>
    <row r="51" spans="1:5" ht="15.75" hidden="1" x14ac:dyDescent="0.25">
      <c r="A51" s="75" t="s">
        <v>344</v>
      </c>
      <c r="B51" s="11"/>
      <c r="C51" s="62"/>
      <c r="D51" s="59"/>
      <c r="E51" s="54"/>
    </row>
    <row r="52" spans="1:5" ht="18" customHeight="1" x14ac:dyDescent="0.25">
      <c r="A52" s="75" t="s">
        <v>520</v>
      </c>
      <c r="B52" s="11">
        <v>4200</v>
      </c>
      <c r="C52" s="62"/>
      <c r="D52" s="59">
        <v>105.14</v>
      </c>
      <c r="E52" s="54"/>
    </row>
    <row r="53" spans="1:5" ht="15.75" x14ac:dyDescent="0.25">
      <c r="A53" s="75" t="s">
        <v>415</v>
      </c>
      <c r="B53" s="162">
        <v>24000</v>
      </c>
      <c r="C53" s="62">
        <v>1</v>
      </c>
      <c r="D53" s="59">
        <v>522.99</v>
      </c>
      <c r="E53" s="54"/>
    </row>
    <row r="54" spans="1:5" ht="15.75" x14ac:dyDescent="0.25">
      <c r="A54" s="95" t="s">
        <v>353</v>
      </c>
      <c r="B54" s="11">
        <v>8133.61</v>
      </c>
      <c r="C54" s="62">
        <v>1</v>
      </c>
      <c r="D54" s="76">
        <v>657.53</v>
      </c>
      <c r="E54" s="54"/>
    </row>
    <row r="55" spans="1:5" ht="15.75" hidden="1" x14ac:dyDescent="0.25">
      <c r="A55" s="75" t="s">
        <v>276</v>
      </c>
      <c r="B55" s="11">
        <v>0</v>
      </c>
      <c r="C55" s="62"/>
      <c r="D55" s="76"/>
      <c r="E55" s="54"/>
    </row>
    <row r="56" spans="1:5" ht="15.75" x14ac:dyDescent="0.25">
      <c r="A56" s="75" t="s">
        <v>519</v>
      </c>
      <c r="B56" s="162">
        <v>15912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343</v>
      </c>
      <c r="B57" s="11"/>
      <c r="C57" s="62">
        <v>0</v>
      </c>
      <c r="D57" s="59">
        <f>2300/1.18</f>
        <v>1949.1525423728815</v>
      </c>
      <c r="E57" s="54"/>
    </row>
    <row r="58" spans="1:5" ht="15.75" hidden="1" x14ac:dyDescent="0.25">
      <c r="A58" s="75" t="s">
        <v>274</v>
      </c>
      <c r="B58" s="11"/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</row>
    <row r="60" spans="1:5" ht="15.75" hidden="1" x14ac:dyDescent="0.25">
      <c r="A60" s="69" t="s">
        <v>279</v>
      </c>
      <c r="B60" s="11">
        <v>0</v>
      </c>
      <c r="C60" s="57"/>
      <c r="D60" s="59"/>
      <c r="E60" s="54"/>
    </row>
    <row r="61" spans="1:5" ht="15.75" hidden="1" x14ac:dyDescent="0.25">
      <c r="A61" s="69" t="s">
        <v>280</v>
      </c>
      <c r="B61" s="11">
        <v>0</v>
      </c>
      <c r="C61" s="62"/>
      <c r="D61" s="59">
        <v>0</v>
      </c>
      <c r="E61" s="54"/>
    </row>
    <row r="62" spans="1:5" ht="15.75" hidden="1" x14ac:dyDescent="0.25">
      <c r="A62" s="69" t="s">
        <v>281</v>
      </c>
      <c r="B62" s="11">
        <v>0</v>
      </c>
      <c r="C62" s="62"/>
      <c r="D62" s="59">
        <v>0</v>
      </c>
      <c r="E62" s="54"/>
    </row>
    <row r="63" spans="1:5" ht="16.5" thickBot="1" x14ac:dyDescent="0.3">
      <c r="A63" s="69" t="s">
        <v>337</v>
      </c>
      <c r="B63" s="162">
        <v>20230.64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60</v>
      </c>
      <c r="D64" s="62">
        <v>2</v>
      </c>
      <c r="E64" s="54">
        <v>1</v>
      </c>
    </row>
    <row r="65" spans="1:4" s="55" customFormat="1" ht="16.5" hidden="1" thickBot="1" x14ac:dyDescent="0.3">
      <c r="A65" s="69" t="s">
        <v>284</v>
      </c>
      <c r="B65" s="132">
        <v>0</v>
      </c>
      <c r="C65" s="80"/>
      <c r="D65" s="73">
        <v>0</v>
      </c>
    </row>
    <row r="66" spans="1:4" ht="16.5" thickBot="1" x14ac:dyDescent="0.3">
      <c r="A66" s="175" t="s">
        <v>285</v>
      </c>
      <c r="B66" s="121">
        <f>SUM(B67:B74)</f>
        <v>193073.78840436199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62300.42*1.04*1.1194*1.0952</f>
        <v>79433.38159129319</v>
      </c>
      <c r="C68" s="56"/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3412.5300000000007</v>
      </c>
      <c r="C70" s="60"/>
      <c r="D70" s="73"/>
    </row>
    <row r="71" spans="1:4" ht="15.75" x14ac:dyDescent="0.25">
      <c r="A71" s="74" t="s">
        <v>290</v>
      </c>
      <c r="B71" s="11">
        <f>5.06*B15</f>
        <v>12790.668</v>
      </c>
      <c r="C71" s="81"/>
      <c r="D71" s="60"/>
    </row>
    <row r="72" spans="1:4" ht="15.75" x14ac:dyDescent="0.25">
      <c r="A72" s="74" t="s">
        <v>291</v>
      </c>
      <c r="B72" s="11">
        <f>17.68*B15</f>
        <v>44691.504000000001</v>
      </c>
      <c r="C72" s="73"/>
      <c r="D72" s="60"/>
    </row>
    <row r="73" spans="1:4" ht="15.75" x14ac:dyDescent="0.25">
      <c r="A73" s="25" t="s">
        <v>292</v>
      </c>
      <c r="B73" s="11">
        <f>4380*1.04*1.1194*1.0952</f>
        <v>5584.5243317759996</v>
      </c>
      <c r="C73" s="73"/>
      <c r="D73" s="60"/>
    </row>
    <row r="74" spans="1:4" ht="15.75" x14ac:dyDescent="0.25">
      <c r="A74" s="74" t="s">
        <v>293</v>
      </c>
      <c r="B74" s="11">
        <f>36989*1.04*1.1194*1.0952</f>
        <v>47161.180481292802</v>
      </c>
      <c r="C74" s="73"/>
      <c r="D74" s="60"/>
    </row>
    <row r="75" spans="1:4" ht="47.25" x14ac:dyDescent="0.25">
      <c r="A75" s="213" t="s">
        <v>326</v>
      </c>
      <c r="B75" s="121">
        <f>SUM(B76:B76)</f>
        <v>94181.173177143981</v>
      </c>
      <c r="C75" s="73"/>
      <c r="D75" s="60"/>
    </row>
    <row r="76" spans="1:4" s="55" customFormat="1" ht="15.75" x14ac:dyDescent="0.25">
      <c r="A76" s="74" t="s">
        <v>295</v>
      </c>
      <c r="B76" s="11">
        <f>'[1]34ОЭР'!D204*1.1194*1.0952</f>
        <v>94181.173177143981</v>
      </c>
      <c r="C76" s="73"/>
      <c r="D76" s="60"/>
    </row>
    <row r="77" spans="1:4" ht="15.75" x14ac:dyDescent="0.25">
      <c r="A77" s="175" t="s">
        <v>296</v>
      </c>
      <c r="B77" s="121">
        <f>SUM(B78:B81)</f>
        <v>87379.225333829047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'[1]34тарифы'!D170*B15*1.1194*1.0952</f>
        <v>66777.665855896834</v>
      </c>
      <c r="C78" s="63"/>
      <c r="D78" s="60"/>
    </row>
    <row r="79" spans="1:4" ht="16.5" thickBot="1" x14ac:dyDescent="0.3">
      <c r="A79" s="35" t="s">
        <v>298</v>
      </c>
      <c r="B79" s="11">
        <f>(B26/1.2)*30%</f>
        <v>2012.28</v>
      </c>
      <c r="C79" s="65"/>
      <c r="D79" s="73"/>
    </row>
    <row r="80" spans="1:4" ht="15.75" x14ac:dyDescent="0.25">
      <c r="A80" s="83" t="s">
        <v>328</v>
      </c>
      <c r="B80" s="11">
        <f>7879.48+5100.63</f>
        <v>12980.11</v>
      </c>
      <c r="C80" s="81"/>
      <c r="D80" s="60"/>
    </row>
    <row r="81" spans="1:4" ht="15.75" x14ac:dyDescent="0.25">
      <c r="A81" s="83" t="s">
        <v>329</v>
      </c>
      <c r="B81" s="11">
        <f>'[1]34тарифы'!D173*B13*1.1194*1.01</f>
        <v>5609.169477932207</v>
      </c>
      <c r="C81" s="73"/>
      <c r="D81" s="60"/>
    </row>
    <row r="82" spans="1:4" ht="15.75" x14ac:dyDescent="0.25">
      <c r="A82" s="214" t="s">
        <v>301</v>
      </c>
      <c r="B82" s="14">
        <f>B32+B42+B46+B66+B75+B77</f>
        <v>594487.25672529137</v>
      </c>
      <c r="C82" s="73"/>
      <c r="D82" s="60"/>
    </row>
    <row r="83" spans="1:4" s="68" customFormat="1" ht="15.75" x14ac:dyDescent="0.25">
      <c r="A83" s="215" t="s">
        <v>302</v>
      </c>
      <c r="B83" s="11">
        <f>B82*0.03</f>
        <v>17834.61770175874</v>
      </c>
      <c r="C83" s="73"/>
      <c r="D83" s="60"/>
    </row>
    <row r="84" spans="1:4" ht="15.75" x14ac:dyDescent="0.25">
      <c r="A84" s="216" t="s">
        <v>303</v>
      </c>
      <c r="B84" s="121">
        <f>B82+B83</f>
        <v>612321.87442705012</v>
      </c>
      <c r="C84" s="73"/>
      <c r="D84" s="60"/>
    </row>
    <row r="85" spans="1:4" s="55" customFormat="1" ht="16.5" thickBot="1" x14ac:dyDescent="0.3">
      <c r="A85" s="217" t="s">
        <v>304</v>
      </c>
      <c r="B85" s="142">
        <f>B84*0.2</f>
        <v>122464.37488541003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734786.24931246019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-924576.7593124602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43000000}">
    <filterColumn colId="1">
      <filters>
        <filter val="12 778,89"/>
        <filter val="12 790,67"/>
        <filter val="12 980,11"/>
        <filter val="122 464,37"/>
        <filter val="15 912,00"/>
        <filter val="16 903,27"/>
        <filter val="17 834,62"/>
        <filter val="183,15"/>
        <filter val="193 073,79"/>
        <filter val="2 012,28"/>
        <filter val="2 688,00"/>
        <filter val="20 230,64"/>
        <filter val="24 000,00"/>
        <filter val="28 839,53"/>
        <filter val="29 212,10"/>
        <filter val="3 264,00"/>
        <filter val="3 412,53"/>
        <filter val="4 200,00"/>
        <filter val="44 691,50"/>
        <filter val="45 742,80"/>
        <filter val="47 161,18"/>
        <filter val="5 584,52"/>
        <filter val="5 609,17"/>
        <filter val="53 507,88"/>
        <filter val="594 487,26"/>
        <filter val="612 321,87"/>
        <filter val="66 777,67"/>
        <filter val="734 786,25"/>
        <filter val="78 611,40"/>
        <filter val="79 433,38"/>
        <filter val="8 133,61"/>
        <filter val="87 379,23"/>
        <filter val="-924 576,76"/>
        <filter val="94 181,17"/>
        <filter val="95 498,87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filterMode="1">
    <pageSetUpPr fitToPage="1"/>
  </sheetPr>
  <dimension ref="A1:G95"/>
  <sheetViews>
    <sheetView view="pageBreakPreview" topLeftCell="A70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94.28515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155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-785135.61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1525.8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498.9</v>
      </c>
      <c r="C14" s="60"/>
      <c r="D14" s="59"/>
    </row>
    <row r="15" spans="1:4" ht="15.75" hidden="1" x14ac:dyDescent="0.25">
      <c r="A15" s="58" t="s">
        <v>237</v>
      </c>
      <c r="B15" s="11">
        <f>B13+B14</f>
        <v>2024.6999999999998</v>
      </c>
      <c r="C15" s="61"/>
      <c r="D15" s="62"/>
    </row>
    <row r="16" spans="1:4" ht="16.5" hidden="1" thickBot="1" x14ac:dyDescent="0.3">
      <c r="A16" s="58" t="s">
        <v>238</v>
      </c>
      <c r="B16" s="11">
        <f>804.4+3395.4/3</f>
        <v>1936.1999999999998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0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966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83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302040.24</v>
      </c>
      <c r="C24" s="59"/>
      <c r="D24" s="62"/>
      <c r="E24" s="194">
        <v>14.559999999999999</v>
      </c>
      <c r="F24" s="195">
        <v>16.298463999999999</v>
      </c>
      <c r="G24" s="54"/>
    </row>
    <row r="25" spans="1:7" ht="16.5" thickBot="1" x14ac:dyDescent="0.3">
      <c r="A25" s="64" t="s">
        <v>318</v>
      </c>
      <c r="B25" s="14">
        <f>VLOOKUP(A5,мкд!W:Y,3,FALSE)</f>
        <v>299525.8</v>
      </c>
      <c r="C25" s="63"/>
      <c r="D25" s="62"/>
      <c r="E25" s="54"/>
      <c r="F25" s="54"/>
      <c r="G25" s="54"/>
    </row>
    <row r="26" spans="1:7" ht="15.75" x14ac:dyDescent="0.25">
      <c r="A26" s="64" t="s">
        <v>348</v>
      </c>
      <c r="B26" s="14">
        <v>98129.47</v>
      </c>
      <c r="C26" s="57"/>
      <c r="D26" s="59"/>
      <c r="E26" s="54"/>
      <c r="F26" s="54"/>
      <c r="G26" s="54"/>
    </row>
    <row r="27" spans="1:7" ht="16.5" thickBot="1" x14ac:dyDescent="0.3">
      <c r="A27" s="64" t="s">
        <v>349</v>
      </c>
      <c r="B27" s="14">
        <v>101096.58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7154.31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75005.42</v>
      </c>
      <c r="C32" s="59"/>
      <c r="D32" s="62"/>
      <c r="E32" s="67">
        <f>(B86-B26-B24)/1.2/1.03</f>
        <v>169087.5142101807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v>31916.34</v>
      </c>
      <c r="C33" s="63"/>
      <c r="D33" s="62">
        <v>28323</v>
      </c>
      <c r="E33" s="54"/>
      <c r="F33" s="54"/>
      <c r="G33" s="54"/>
    </row>
    <row r="34" spans="1:7" ht="15.75" hidden="1" x14ac:dyDescent="0.25">
      <c r="A34" s="69" t="s">
        <v>320</v>
      </c>
      <c r="B34" s="11">
        <v>0</v>
      </c>
      <c r="C34" s="57"/>
      <c r="D34" s="59">
        <v>0</v>
      </c>
      <c r="E34" s="54"/>
      <c r="F34" s="54"/>
      <c r="G34" s="54"/>
    </row>
    <row r="35" spans="1:7" ht="15.75" x14ac:dyDescent="0.25">
      <c r="A35" s="69" t="s">
        <v>256</v>
      </c>
      <c r="B35" s="11">
        <v>25002.3</v>
      </c>
      <c r="C35" s="62"/>
      <c r="D35" s="59">
        <v>0</v>
      </c>
      <c r="E35" s="54"/>
      <c r="F35" s="54"/>
      <c r="G35" s="54"/>
    </row>
    <row r="36" spans="1:7" ht="15.75" hidden="1" x14ac:dyDescent="0.25">
      <c r="A36" s="69" t="s">
        <v>255</v>
      </c>
      <c r="B36" s="11"/>
      <c r="C36" s="62" t="s">
        <v>234</v>
      </c>
      <c r="D36" s="59">
        <v>0</v>
      </c>
      <c r="E36" s="54"/>
      <c r="F36" s="54"/>
      <c r="G36" s="54"/>
    </row>
    <row r="37" spans="1:7" ht="16.5" thickBot="1" x14ac:dyDescent="0.3">
      <c r="A37" s="69" t="s">
        <v>257</v>
      </c>
      <c r="B37" s="11">
        <v>18086.78</v>
      </c>
      <c r="C37" s="62"/>
      <c r="D37" s="59">
        <v>0</v>
      </c>
      <c r="E37" s="54"/>
      <c r="F37" s="54"/>
      <c r="G37" s="54"/>
    </row>
    <row r="38" spans="1:7" ht="16.5" hidden="1" thickBot="1" x14ac:dyDescent="0.3">
      <c r="A38" s="69" t="s">
        <v>474</v>
      </c>
      <c r="B38" s="11"/>
      <c r="C38" s="62"/>
      <c r="D38" s="59">
        <v>0</v>
      </c>
      <c r="E38" s="54"/>
      <c r="F38" s="54"/>
      <c r="G38" s="54"/>
    </row>
    <row r="39" spans="1:7" ht="32.25" hidden="1" thickBot="1" x14ac:dyDescent="0.3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6.5" hidden="1" thickBot="1" x14ac:dyDescent="0.3">
      <c r="A40" s="69" t="s">
        <v>310</v>
      </c>
      <c r="B40" s="11">
        <v>0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475</v>
      </c>
      <c r="B41" s="11">
        <v>0</v>
      </c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59744.670650038242</v>
      </c>
      <c r="C42" s="56"/>
      <c r="D42" s="62"/>
      <c r="E42" s="67"/>
      <c r="F42" s="67"/>
      <c r="G42" s="67"/>
    </row>
    <row r="43" spans="1:7" ht="15.75" x14ac:dyDescent="0.25">
      <c r="A43" s="69" t="s">
        <v>262</v>
      </c>
      <c r="B43" s="11">
        <v>13437.420000000002</v>
      </c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32961.81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('[1]34тарифы'!D163*B15+143.67)*1.1194*1.0952</f>
        <v>13345.44065003825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14040.130000000001</v>
      </c>
      <c r="C46" s="56"/>
      <c r="D46" s="62"/>
    </row>
    <row r="47" spans="1:7" ht="15.75" hidden="1" x14ac:dyDescent="0.25">
      <c r="A47" s="69" t="s">
        <v>324</v>
      </c>
      <c r="B47" s="11">
        <v>0</v>
      </c>
      <c r="C47" s="57"/>
      <c r="D47" s="59"/>
      <c r="E47" s="54" t="s">
        <v>267</v>
      </c>
      <c r="F47" s="54"/>
      <c r="G47" s="54"/>
    </row>
    <row r="48" spans="1:7" ht="15.75" hidden="1" x14ac:dyDescent="0.25">
      <c r="A48" s="69" t="s">
        <v>315</v>
      </c>
      <c r="B48" s="11"/>
      <c r="C48" s="62"/>
      <c r="D48" s="59"/>
      <c r="E48" s="54" t="s">
        <v>269</v>
      </c>
      <c r="F48" s="54"/>
      <c r="G48" s="54"/>
    </row>
    <row r="49" spans="1:5" ht="15.75" x14ac:dyDescent="0.25">
      <c r="A49" s="75" t="s">
        <v>281</v>
      </c>
      <c r="B49" s="162">
        <v>66.599999999999994</v>
      </c>
      <c r="C49" s="62"/>
      <c r="D49" s="59"/>
      <c r="E49" s="54"/>
    </row>
    <row r="50" spans="1:5" ht="15.75" hidden="1" x14ac:dyDescent="0.25">
      <c r="A50" s="75" t="s">
        <v>465</v>
      </c>
      <c r="B50" s="162">
        <v>0</v>
      </c>
      <c r="C50" s="62"/>
      <c r="D50" s="59">
        <v>4190</v>
      </c>
      <c r="E50" s="54"/>
    </row>
    <row r="51" spans="1:5" ht="15.75" hidden="1" x14ac:dyDescent="0.25">
      <c r="A51" s="75" t="s">
        <v>473</v>
      </c>
      <c r="B51" s="11">
        <v>0</v>
      </c>
      <c r="C51" s="62"/>
      <c r="D51" s="59"/>
      <c r="E51" s="54"/>
    </row>
    <row r="52" spans="1:5" ht="15.75" hidden="1" x14ac:dyDescent="0.25">
      <c r="A52" s="75" t="s">
        <v>273</v>
      </c>
      <c r="B52" s="11">
        <f>B21*'[1]34тарифы'!D177</f>
        <v>0</v>
      </c>
      <c r="C52" s="62"/>
      <c r="D52" s="59">
        <v>105.14</v>
      </c>
      <c r="E52" s="54"/>
    </row>
    <row r="53" spans="1:5" ht="15.75" hidden="1" x14ac:dyDescent="0.25">
      <c r="A53" s="75" t="s">
        <v>274</v>
      </c>
      <c r="B53" s="11">
        <v>0</v>
      </c>
      <c r="C53" s="62">
        <v>0</v>
      </c>
      <c r="D53" s="59">
        <v>522.99</v>
      </c>
      <c r="E53" s="54"/>
    </row>
    <row r="54" spans="1:5" ht="15.75" hidden="1" x14ac:dyDescent="0.25">
      <c r="A54" s="75" t="s">
        <v>275</v>
      </c>
      <c r="B54" s="11">
        <v>0</v>
      </c>
      <c r="C54" s="62">
        <v>0</v>
      </c>
      <c r="D54" s="76">
        <v>695.13</v>
      </c>
      <c r="E54" s="54"/>
    </row>
    <row r="55" spans="1:5" ht="15.75" hidden="1" x14ac:dyDescent="0.25">
      <c r="A55" s="75" t="s">
        <v>276</v>
      </c>
      <c r="B55" s="11">
        <v>0</v>
      </c>
      <c r="C55" s="62"/>
      <c r="D55" s="76"/>
      <c r="E55" s="54"/>
    </row>
    <row r="56" spans="1:5" ht="15.75" hidden="1" x14ac:dyDescent="0.25">
      <c r="A56" s="75" t="s">
        <v>277</v>
      </c>
      <c r="B56" s="11">
        <v>0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312</v>
      </c>
      <c r="B57" s="11">
        <v>0</v>
      </c>
      <c r="C57" s="62">
        <v>0</v>
      </c>
      <c r="D57" s="59">
        <f>2300/1.18</f>
        <v>1949.1525423728815</v>
      </c>
      <c r="E57" s="54"/>
    </row>
    <row r="58" spans="1:5" ht="15.75" hidden="1" x14ac:dyDescent="0.25">
      <c r="A58" s="75" t="s">
        <v>313</v>
      </c>
      <c r="B58" s="11">
        <v>0</v>
      </c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/>
      <c r="C59" s="56"/>
      <c r="D59" s="62"/>
      <c r="E59" s="54"/>
    </row>
    <row r="60" spans="1:5" ht="15.75" hidden="1" x14ac:dyDescent="0.25">
      <c r="A60" s="69" t="s">
        <v>279</v>
      </c>
      <c r="B60" s="11">
        <v>0</v>
      </c>
      <c r="C60" s="57"/>
      <c r="D60" s="59"/>
      <c r="E60" s="54"/>
    </row>
    <row r="61" spans="1:5" ht="15.75" hidden="1" x14ac:dyDescent="0.25">
      <c r="A61" s="69" t="s">
        <v>280</v>
      </c>
      <c r="B61" s="11">
        <v>0</v>
      </c>
      <c r="C61" s="62"/>
      <c r="D61" s="59">
        <v>48300</v>
      </c>
      <c r="E61" s="54"/>
    </row>
    <row r="62" spans="1:5" ht="15.75" hidden="1" x14ac:dyDescent="0.25">
      <c r="A62" s="69" t="s">
        <v>314</v>
      </c>
      <c r="B62" s="162">
        <v>0</v>
      </c>
      <c r="C62" s="62"/>
      <c r="D62" s="59">
        <v>0</v>
      </c>
      <c r="E62" s="54"/>
    </row>
    <row r="63" spans="1:5" ht="16.5" thickBot="1" x14ac:dyDescent="0.3">
      <c r="A63" s="69" t="s">
        <v>337</v>
      </c>
      <c r="B63" s="162">
        <v>13973.53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36</v>
      </c>
      <c r="D64" s="62">
        <v>2</v>
      </c>
      <c r="E64" s="54">
        <v>1</v>
      </c>
    </row>
    <row r="65" spans="1:4" s="55" customFormat="1" ht="16.5" hidden="1" thickBot="1" x14ac:dyDescent="0.3">
      <c r="A65" s="69" t="s">
        <v>284</v>
      </c>
      <c r="B65" s="132">
        <v>0</v>
      </c>
      <c r="C65" s="80">
        <v>33</v>
      </c>
      <c r="D65" s="73">
        <f>650/1.18</f>
        <v>550.84745762711873</v>
      </c>
    </row>
    <row r="66" spans="1:4" ht="16.5" thickBot="1" x14ac:dyDescent="0.3">
      <c r="A66" s="175" t="s">
        <v>285</v>
      </c>
      <c r="B66" s="121">
        <f>SUM(B67:B74)</f>
        <v>180226.09398239834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69963.43*1.04*1.1194*1.0952</f>
        <v>89203.76191084634</v>
      </c>
      <c r="C68" s="56"/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2733.3449999999998</v>
      </c>
      <c r="C70" s="60"/>
      <c r="D70" s="73"/>
    </row>
    <row r="71" spans="1:4" ht="15.75" x14ac:dyDescent="0.25">
      <c r="A71" s="74" t="s">
        <v>290</v>
      </c>
      <c r="B71" s="11">
        <f>5.06*B15</f>
        <v>10244.981999999998</v>
      </c>
      <c r="C71" s="81"/>
      <c r="D71" s="60"/>
    </row>
    <row r="72" spans="1:4" ht="15.75" x14ac:dyDescent="0.25">
      <c r="A72" s="74" t="s">
        <v>291</v>
      </c>
      <c r="B72" s="11">
        <f>17.68*B15</f>
        <v>35796.695999999996</v>
      </c>
      <c r="C72" s="73"/>
      <c r="D72" s="60"/>
    </row>
    <row r="73" spans="1:4" ht="15.75" x14ac:dyDescent="0.25">
      <c r="A73" s="25" t="s">
        <v>292</v>
      </c>
      <c r="B73" s="11">
        <f>3508*1.04*1.1194*1.0952</f>
        <v>4472.7194876415997</v>
      </c>
      <c r="C73" s="73"/>
      <c r="D73" s="60"/>
    </row>
    <row r="74" spans="1:4" ht="15.75" x14ac:dyDescent="0.25">
      <c r="A74" s="74" t="s">
        <v>293</v>
      </c>
      <c r="B74" s="11">
        <f>29627*1.04*1.1194*1.0952</f>
        <v>37774.589583910405</v>
      </c>
      <c r="C74" s="73"/>
      <c r="D74" s="60"/>
    </row>
    <row r="75" spans="1:4" ht="63" x14ac:dyDescent="0.25">
      <c r="A75" s="213" t="s">
        <v>326</v>
      </c>
      <c r="B75" s="121">
        <f>SUM(B76:B76)</f>
        <v>74240.475215796861</v>
      </c>
      <c r="C75" s="73"/>
      <c r="D75" s="60"/>
    </row>
    <row r="76" spans="1:4" s="55" customFormat="1" ht="15.75" x14ac:dyDescent="0.25">
      <c r="A76" s="74" t="s">
        <v>295</v>
      </c>
      <c r="B76" s="11">
        <f>58227.57*1.04*1.1194*1.0952</f>
        <v>74240.475215796861</v>
      </c>
      <c r="C76" s="73"/>
      <c r="D76" s="60"/>
    </row>
    <row r="77" spans="1:4" ht="15.75" x14ac:dyDescent="0.25">
      <c r="A77" s="175" t="s">
        <v>296</v>
      </c>
      <c r="B77" s="121">
        <f>SUM(B78:B81)</f>
        <v>89592.625656445627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'[1]34тарифы'!D170*B15*1.1194*1.0952</f>
        <v>53487.119257233287</v>
      </c>
      <c r="C78" s="63"/>
      <c r="D78" s="60"/>
    </row>
    <row r="79" spans="1:4" ht="16.5" thickBot="1" x14ac:dyDescent="0.3">
      <c r="A79" s="35" t="s">
        <v>298</v>
      </c>
      <c r="B79" s="11">
        <f>(B26/1.2)*30%</f>
        <v>24532.3675</v>
      </c>
      <c r="C79" s="65"/>
      <c r="D79" s="73"/>
    </row>
    <row r="80" spans="1:4" ht="15.75" x14ac:dyDescent="0.25">
      <c r="A80" s="83" t="s">
        <v>328</v>
      </c>
      <c r="B80" s="11">
        <f>4920.4+3267</f>
        <v>8187.4</v>
      </c>
      <c r="C80" s="81"/>
      <c r="D80" s="60"/>
    </row>
    <row r="81" spans="1:4" ht="15.75" x14ac:dyDescent="0.25">
      <c r="A81" s="83" t="s">
        <v>329</v>
      </c>
      <c r="B81" s="11">
        <f>'[1]34тарифы'!D173*B13*1.1194*1.01</f>
        <v>3385.7388992123424</v>
      </c>
      <c r="C81" s="73"/>
      <c r="D81" s="60"/>
    </row>
    <row r="82" spans="1:4" ht="15.75" x14ac:dyDescent="0.25">
      <c r="A82" s="214" t="s">
        <v>301</v>
      </c>
      <c r="B82" s="14">
        <f>B32+B42+B46+B66+B75+B77</f>
        <v>492849.41550467908</v>
      </c>
      <c r="C82" s="73"/>
      <c r="D82" s="60"/>
    </row>
    <row r="83" spans="1:4" s="68" customFormat="1" ht="15.75" x14ac:dyDescent="0.25">
      <c r="A83" s="215" t="s">
        <v>302</v>
      </c>
      <c r="B83" s="11">
        <f>B82*0.03</f>
        <v>14785.482465140372</v>
      </c>
      <c r="C83" s="73"/>
      <c r="D83" s="60"/>
    </row>
    <row r="84" spans="1:4" ht="15.75" x14ac:dyDescent="0.25">
      <c r="A84" s="216" t="s">
        <v>303</v>
      </c>
      <c r="B84" s="121">
        <f>B82+B83</f>
        <v>507634.89796981943</v>
      </c>
      <c r="C84" s="73"/>
      <c r="D84" s="60"/>
    </row>
    <row r="85" spans="1:4" s="55" customFormat="1" ht="16.5" thickBot="1" x14ac:dyDescent="0.3">
      <c r="A85" s="217" t="s">
        <v>304</v>
      </c>
      <c r="B85" s="142">
        <f>B84*0.2</f>
        <v>101526.97959396389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609161.87756378332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-986973.46756378328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44000000}">
    <filterColumn colId="1">
      <filters>
        <filter val="10 244,98"/>
        <filter val="101 526,98"/>
        <filter val="13 345,44"/>
        <filter val="13 437,42"/>
        <filter val="13 973,53"/>
        <filter val="14 040,13"/>
        <filter val="14 785,48"/>
        <filter val="18 086,78"/>
        <filter val="180 226,09"/>
        <filter val="2 733,35"/>
        <filter val="24 532,37"/>
        <filter val="25 002,30"/>
        <filter val="3 385,74"/>
        <filter val="31 916,34"/>
        <filter val="32 961,81"/>
        <filter val="35 796,70"/>
        <filter val="37 774,59"/>
        <filter val="4 472,72"/>
        <filter val="492 849,42"/>
        <filter val="507 634,90"/>
        <filter val="53 487,12"/>
        <filter val="59 744,67"/>
        <filter val="609 161,88"/>
        <filter val="66,60"/>
        <filter val="74 240,48"/>
        <filter val="75 005,42"/>
        <filter val="8 187,40"/>
        <filter val="89 203,76"/>
        <filter val="89 592,63"/>
        <filter val="-986 973,47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pageSetUpPr fitToPage="1"/>
  </sheetPr>
  <dimension ref="A1:H95"/>
  <sheetViews>
    <sheetView view="pageBreakPreview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93.28515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8" max="8" width="10.1406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29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-621404.9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1534.5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0</v>
      </c>
      <c r="C14" s="60"/>
      <c r="D14" s="59"/>
    </row>
    <row r="15" spans="1:4" ht="15.75" hidden="1" x14ac:dyDescent="0.25">
      <c r="A15" s="58" t="s">
        <v>237</v>
      </c>
      <c r="B15" s="11">
        <f>B13+B14</f>
        <v>1534.5</v>
      </c>
      <c r="C15" s="61"/>
      <c r="D15" s="62"/>
    </row>
    <row r="16" spans="1:4" ht="16.5" hidden="1" thickBot="1" x14ac:dyDescent="0.3">
      <c r="A16" s="58" t="s">
        <v>238</v>
      </c>
      <c r="B16" s="11">
        <f>1291.4+1637.1/3</f>
        <v>1837.1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640.9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833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89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/>
      <c r="F23" s="54"/>
      <c r="G23" s="54"/>
    </row>
    <row r="24" spans="1:7" ht="15.75" x14ac:dyDescent="0.25">
      <c r="A24" s="258" t="s">
        <v>317</v>
      </c>
      <c r="B24" s="255">
        <f>VLOOKUP(A5,мкд!W:X,2,FALSE)</f>
        <v>319208.76</v>
      </c>
      <c r="C24" s="59"/>
      <c r="D24" s="62"/>
      <c r="E24" s="194">
        <v>17.36</v>
      </c>
      <c r="F24" s="54"/>
      <c r="G24" s="54"/>
    </row>
    <row r="25" spans="1:7" ht="16.5" thickBot="1" x14ac:dyDescent="0.3">
      <c r="A25" s="64" t="s">
        <v>318</v>
      </c>
      <c r="B25" s="14">
        <f>VLOOKUP(A5,мкд!W:Y,3,FALSE)</f>
        <v>342067.81</v>
      </c>
      <c r="C25" s="63"/>
      <c r="D25" s="62"/>
      <c r="E25" s="54">
        <f>E24*12*B15</f>
        <v>319667.03999999998</v>
      </c>
      <c r="F25" s="54"/>
      <c r="G25" s="54"/>
    </row>
    <row r="26" spans="1:7" ht="15.75" hidden="1" x14ac:dyDescent="0.25">
      <c r="A26" s="64" t="s">
        <v>319</v>
      </c>
      <c r="B26" s="14">
        <v>0</v>
      </c>
      <c r="C26" s="57"/>
      <c r="D26" s="59"/>
      <c r="E26" s="54"/>
      <c r="F26" s="54"/>
      <c r="G26" s="54"/>
    </row>
    <row r="27" spans="1:7" ht="16.5" hidden="1" thickBot="1" x14ac:dyDescent="0.3">
      <c r="A27" s="64" t="s">
        <v>248</v>
      </c>
      <c r="B27" s="14">
        <v>0</v>
      </c>
      <c r="C27" s="60"/>
      <c r="D27" s="59"/>
      <c r="E27" s="54"/>
      <c r="F27" s="54"/>
      <c r="G27" s="54"/>
    </row>
    <row r="28" spans="1:7" ht="16.5" hidden="1" thickBot="1" x14ac:dyDescent="0.3">
      <c r="A28" s="64" t="s">
        <v>249</v>
      </c>
      <c r="B28" s="14"/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18632.980222367998</v>
      </c>
      <c r="C32" s="59"/>
      <c r="D32" s="62"/>
      <c r="E32" s="67">
        <f>(B86-B26-B24)/1.2/1.03</f>
        <v>76079.799136442467</v>
      </c>
      <c r="F32" s="67" t="e">
        <f>(#REF!-#REF!-#REF!)/1.2/1.03</f>
        <v>#REF!</v>
      </c>
      <c r="G32" s="67" t="e">
        <f>(#REF!-#REF!-#REF!)/1.2/1.03</f>
        <v>#REF!</v>
      </c>
    </row>
    <row r="33" spans="1:8" ht="16.5" thickBot="1" x14ac:dyDescent="0.3">
      <c r="A33" s="69" t="s">
        <v>253</v>
      </c>
      <c r="B33" s="11">
        <f>15198.6*1.1194*1.0952</f>
        <v>18632.980222367998</v>
      </c>
      <c r="C33" s="63"/>
      <c r="D33" s="62">
        <v>25878.94</v>
      </c>
      <c r="E33" s="54"/>
      <c r="F33" s="54"/>
      <c r="G33" s="54"/>
      <c r="H33" s="54"/>
    </row>
    <row r="34" spans="1:8" ht="16.5" hidden="1" thickBot="1" x14ac:dyDescent="0.3">
      <c r="A34" s="69" t="s">
        <v>488</v>
      </c>
      <c r="B34" s="11"/>
      <c r="C34" s="57"/>
      <c r="D34" s="59">
        <v>0</v>
      </c>
      <c r="E34" s="54"/>
      <c r="F34" s="54"/>
      <c r="G34" s="54"/>
      <c r="H34" s="54"/>
    </row>
    <row r="35" spans="1:8" ht="16.5" hidden="1" thickBot="1" x14ac:dyDescent="0.3">
      <c r="A35" s="69" t="s">
        <v>256</v>
      </c>
      <c r="B35" s="11"/>
      <c r="C35" s="62"/>
      <c r="D35" s="59">
        <v>0</v>
      </c>
      <c r="E35" s="54"/>
      <c r="F35" s="54"/>
      <c r="G35" s="54"/>
      <c r="H35" s="54"/>
    </row>
    <row r="36" spans="1:8" ht="16.5" hidden="1" thickBot="1" x14ac:dyDescent="0.3">
      <c r="A36" s="69" t="s">
        <v>255</v>
      </c>
      <c r="B36" s="11">
        <v>0</v>
      </c>
      <c r="C36" s="62" t="s">
        <v>234</v>
      </c>
      <c r="D36" s="59">
        <v>0</v>
      </c>
      <c r="E36" s="54"/>
      <c r="F36" s="54"/>
      <c r="G36" s="54"/>
      <c r="H36" s="54"/>
    </row>
    <row r="37" spans="1:8" ht="16.5" hidden="1" thickBot="1" x14ac:dyDescent="0.3">
      <c r="A37" s="69" t="s">
        <v>257</v>
      </c>
      <c r="B37" s="11"/>
      <c r="C37" s="62"/>
      <c r="D37" s="59">
        <v>0</v>
      </c>
      <c r="E37" s="54"/>
      <c r="F37" s="54"/>
      <c r="G37" s="54"/>
      <c r="H37" s="54"/>
    </row>
    <row r="38" spans="1:8" ht="16.5" hidden="1" thickBot="1" x14ac:dyDescent="0.3">
      <c r="A38" s="69" t="s">
        <v>258</v>
      </c>
      <c r="B38" s="11">
        <v>0</v>
      </c>
      <c r="C38" s="62"/>
      <c r="D38" s="59">
        <v>0</v>
      </c>
      <c r="E38" s="54"/>
      <c r="F38" s="54"/>
      <c r="G38" s="54"/>
      <c r="H38" s="54"/>
    </row>
    <row r="39" spans="1:8" ht="32.25" hidden="1" thickBot="1" x14ac:dyDescent="0.3">
      <c r="A39" s="69" t="s">
        <v>322</v>
      </c>
      <c r="B39" s="11">
        <v>0</v>
      </c>
      <c r="C39" s="62"/>
      <c r="D39" s="59">
        <v>0</v>
      </c>
      <c r="E39" s="54"/>
      <c r="F39" s="54"/>
      <c r="G39" s="54"/>
      <c r="H39" s="54"/>
    </row>
    <row r="40" spans="1:8" ht="16.5" hidden="1" thickBot="1" x14ac:dyDescent="0.3">
      <c r="A40" s="69" t="s">
        <v>338</v>
      </c>
      <c r="B40" s="11"/>
      <c r="C40" s="62"/>
      <c r="D40" s="59"/>
      <c r="E40" s="54"/>
      <c r="F40" s="54"/>
      <c r="G40" s="54"/>
      <c r="H40" s="54"/>
    </row>
    <row r="41" spans="1:8" ht="16.5" hidden="1" thickBot="1" x14ac:dyDescent="0.3">
      <c r="A41" s="69" t="s">
        <v>311</v>
      </c>
      <c r="B41" s="11">
        <v>0</v>
      </c>
      <c r="C41" s="60"/>
      <c r="D41" s="59"/>
      <c r="E41" s="54"/>
      <c r="F41" s="54"/>
      <c r="G41" s="54"/>
      <c r="H41" s="54"/>
    </row>
    <row r="42" spans="1:8" s="68" customFormat="1" ht="48" thickBot="1" x14ac:dyDescent="0.3">
      <c r="A42" s="66" t="s">
        <v>323</v>
      </c>
      <c r="B42" s="121">
        <f>SUM(B43:B45)</f>
        <v>13196.044030614652</v>
      </c>
      <c r="C42" s="56"/>
      <c r="D42" s="62"/>
      <c r="E42" s="67"/>
      <c r="F42" s="67"/>
      <c r="G42" s="67"/>
    </row>
    <row r="43" spans="1:8" ht="15.75" hidden="1" x14ac:dyDescent="0.25">
      <c r="A43" s="69" t="s">
        <v>262</v>
      </c>
      <c r="B43" s="11"/>
      <c r="C43" s="65"/>
      <c r="D43" s="73"/>
      <c r="E43" s="54"/>
      <c r="F43" s="54"/>
      <c r="G43" s="54"/>
      <c r="H43" s="54"/>
    </row>
    <row r="44" spans="1:8" ht="15.75" x14ac:dyDescent="0.25">
      <c r="A44" s="69" t="s">
        <v>263</v>
      </c>
      <c r="B44" s="11">
        <v>3055.77</v>
      </c>
      <c r="C44" s="60"/>
      <c r="D44" s="73"/>
      <c r="E44" s="54"/>
      <c r="F44" s="54"/>
      <c r="G44" s="54"/>
      <c r="H44" s="54"/>
    </row>
    <row r="45" spans="1:8" ht="16.5" thickBot="1" x14ac:dyDescent="0.3">
      <c r="A45" s="74" t="s">
        <v>264</v>
      </c>
      <c r="B45" s="11">
        <f>('[1]34тарифы'!D163*B15+130.01)*1.1194*1.0952</f>
        <v>10140.274030614652</v>
      </c>
      <c r="C45" s="60"/>
      <c r="D45" s="73"/>
      <c r="E45" s="54"/>
      <c r="F45" s="54"/>
      <c r="G45" s="54"/>
      <c r="H45" s="54"/>
    </row>
    <row r="46" spans="1:8" s="55" customFormat="1" ht="16.5" thickBot="1" x14ac:dyDescent="0.3">
      <c r="A46" s="66" t="s">
        <v>265</v>
      </c>
      <c r="B46" s="121">
        <f>SUM(B47:B65)</f>
        <v>31990.71</v>
      </c>
      <c r="C46" s="56"/>
      <c r="D46" s="62"/>
    </row>
    <row r="47" spans="1:8" ht="15.75" x14ac:dyDescent="0.25">
      <c r="A47" s="69" t="s">
        <v>324</v>
      </c>
      <c r="B47" s="162">
        <v>2691.72</v>
      </c>
      <c r="C47" s="57"/>
      <c r="D47" s="59"/>
      <c r="E47" s="54" t="s">
        <v>267</v>
      </c>
      <c r="F47" s="54"/>
      <c r="G47" s="54"/>
      <c r="H47" s="54"/>
    </row>
    <row r="48" spans="1:8" ht="15.75" x14ac:dyDescent="0.25">
      <c r="A48" s="69" t="s">
        <v>315</v>
      </c>
      <c r="B48" s="162">
        <v>3268.56</v>
      </c>
      <c r="C48" s="62"/>
      <c r="D48" s="59"/>
      <c r="E48" s="54" t="s">
        <v>269</v>
      </c>
      <c r="F48" s="54"/>
      <c r="G48" s="54"/>
      <c r="H48" s="157">
        <f>B46+557.87-B59</f>
        <v>32548.579999999998</v>
      </c>
    </row>
    <row r="49" spans="1:7" ht="15.75" hidden="1" x14ac:dyDescent="0.25">
      <c r="A49" s="75" t="s">
        <v>281</v>
      </c>
      <c r="B49" s="11">
        <v>0</v>
      </c>
      <c r="C49" s="62"/>
      <c r="D49" s="59"/>
      <c r="E49" s="54"/>
      <c r="F49" s="54"/>
      <c r="G49" s="54"/>
    </row>
    <row r="50" spans="1:7" ht="15.75" hidden="1" x14ac:dyDescent="0.25">
      <c r="A50" s="75" t="s">
        <v>271</v>
      </c>
      <c r="B50" s="11">
        <v>0</v>
      </c>
      <c r="C50" s="62"/>
      <c r="D50" s="59">
        <v>4190</v>
      </c>
      <c r="E50" s="54"/>
      <c r="F50" s="54"/>
      <c r="G50" s="54"/>
    </row>
    <row r="51" spans="1:7" ht="15.75" hidden="1" x14ac:dyDescent="0.25">
      <c r="A51" s="75" t="s">
        <v>272</v>
      </c>
      <c r="B51" s="11">
        <v>0</v>
      </c>
      <c r="C51" s="62"/>
      <c r="D51" s="59"/>
      <c r="E51" s="54"/>
      <c r="F51" s="54"/>
      <c r="G51" s="157">
        <f>B46-B59+557.87</f>
        <v>32548.579999999998</v>
      </c>
    </row>
    <row r="52" spans="1:7" ht="15.75" hidden="1" x14ac:dyDescent="0.25">
      <c r="A52" s="75" t="s">
        <v>273</v>
      </c>
      <c r="B52" s="11">
        <f>B21*'[1]34тарифы'!D177</f>
        <v>0</v>
      </c>
      <c r="C52" s="62"/>
      <c r="D52" s="59">
        <v>105.14</v>
      </c>
      <c r="E52" s="54"/>
      <c r="F52" s="54"/>
      <c r="G52" s="54"/>
    </row>
    <row r="53" spans="1:7" ht="15.75" hidden="1" x14ac:dyDescent="0.25">
      <c r="A53" s="75" t="s">
        <v>274</v>
      </c>
      <c r="B53" s="11">
        <v>0</v>
      </c>
      <c r="C53" s="62">
        <v>0</v>
      </c>
      <c r="D53" s="59">
        <v>522.99</v>
      </c>
      <c r="E53" s="54"/>
      <c r="F53" s="54"/>
      <c r="G53" s="54"/>
    </row>
    <row r="54" spans="1:7" ht="15.75" hidden="1" x14ac:dyDescent="0.25">
      <c r="A54" s="75" t="s">
        <v>275</v>
      </c>
      <c r="B54" s="11">
        <v>0</v>
      </c>
      <c r="C54" s="62">
        <v>0</v>
      </c>
      <c r="D54" s="76">
        <v>695.13</v>
      </c>
      <c r="E54" s="54"/>
      <c r="F54" s="54"/>
      <c r="G54" s="54"/>
    </row>
    <row r="55" spans="1:7" ht="15.75" hidden="1" x14ac:dyDescent="0.25">
      <c r="A55" s="75" t="s">
        <v>276</v>
      </c>
      <c r="B55" s="11">
        <v>0</v>
      </c>
      <c r="C55" s="62"/>
      <c r="D55" s="76"/>
      <c r="E55" s="54"/>
      <c r="F55" s="54"/>
      <c r="G55" s="54"/>
    </row>
    <row r="56" spans="1:7" ht="15.75" hidden="1" x14ac:dyDescent="0.25">
      <c r="A56" s="75" t="s">
        <v>277</v>
      </c>
      <c r="B56" s="11">
        <v>0</v>
      </c>
      <c r="C56" s="62">
        <v>0</v>
      </c>
      <c r="D56" s="59">
        <f>10695.76/1.18</f>
        <v>9064.203389830509</v>
      </c>
      <c r="E56" s="54"/>
      <c r="F56" s="54"/>
      <c r="G56" s="54"/>
    </row>
    <row r="57" spans="1:7" ht="15.75" hidden="1" x14ac:dyDescent="0.25">
      <c r="A57" s="75" t="s">
        <v>489</v>
      </c>
      <c r="B57" s="11"/>
      <c r="C57" s="62">
        <v>0</v>
      </c>
      <c r="D57" s="59">
        <f>2300/1.18</f>
        <v>1949.1525423728815</v>
      </c>
      <c r="E57" s="54"/>
      <c r="F57" s="54"/>
      <c r="G57" s="54"/>
    </row>
    <row r="58" spans="1:7" ht="15.75" x14ac:dyDescent="0.25">
      <c r="A58" s="75" t="s">
        <v>314</v>
      </c>
      <c r="B58" s="11">
        <f>VLOOKUP(A5,'[2]МКД 33'!$AI:$FO,137,FALSE)</f>
        <v>11440.44</v>
      </c>
      <c r="C58" s="60">
        <v>0</v>
      </c>
      <c r="D58" s="59">
        <v>0</v>
      </c>
      <c r="E58" s="54"/>
      <c r="F58" s="54"/>
      <c r="G58" s="54"/>
    </row>
    <row r="59" spans="1:7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  <c r="F59" s="54"/>
      <c r="G59" s="54"/>
    </row>
    <row r="60" spans="1:7" ht="15.75" hidden="1" x14ac:dyDescent="0.25">
      <c r="A60" s="69" t="s">
        <v>279</v>
      </c>
      <c r="B60" s="11">
        <v>0</v>
      </c>
      <c r="C60" s="57"/>
      <c r="D60" s="59"/>
      <c r="E60" s="54"/>
      <c r="F60" s="54"/>
      <c r="G60" s="54"/>
    </row>
    <row r="61" spans="1:7" ht="15.75" hidden="1" x14ac:dyDescent="0.25">
      <c r="A61" s="69" t="s">
        <v>280</v>
      </c>
      <c r="B61" s="11">
        <v>0</v>
      </c>
      <c r="C61" s="62"/>
      <c r="D61" s="59">
        <v>41650</v>
      </c>
      <c r="E61" s="54"/>
      <c r="F61" s="54"/>
      <c r="G61" s="54"/>
    </row>
    <row r="62" spans="1:7" ht="15.75" hidden="1" x14ac:dyDescent="0.25">
      <c r="A62" s="69" t="s">
        <v>336</v>
      </c>
      <c r="B62" s="11">
        <v>0</v>
      </c>
      <c r="C62" s="62"/>
      <c r="D62" s="59">
        <v>0</v>
      </c>
      <c r="E62" s="54"/>
      <c r="F62" s="54"/>
      <c r="G62" s="54"/>
    </row>
    <row r="63" spans="1:7" ht="16.5" thickBot="1" x14ac:dyDescent="0.3">
      <c r="A63" s="69" t="s">
        <v>337</v>
      </c>
      <c r="B63" s="132">
        <v>14589.99</v>
      </c>
      <c r="C63" s="78">
        <v>1</v>
      </c>
      <c r="D63" s="59">
        <v>0</v>
      </c>
      <c r="E63" s="54"/>
      <c r="F63" s="54"/>
      <c r="G63" s="54"/>
    </row>
    <row r="64" spans="1:7" ht="16.5" hidden="1" thickBot="1" x14ac:dyDescent="0.3">
      <c r="A64" s="69" t="s">
        <v>283</v>
      </c>
      <c r="B64" s="132">
        <v>0</v>
      </c>
      <c r="C64" s="79">
        <v>36</v>
      </c>
      <c r="D64" s="62">
        <v>2</v>
      </c>
      <c r="E64" s="54">
        <v>1</v>
      </c>
      <c r="F64" s="54"/>
      <c r="G64" s="54"/>
    </row>
    <row r="65" spans="1:4" s="55" customFormat="1" ht="16.5" hidden="1" thickBot="1" x14ac:dyDescent="0.3">
      <c r="A65" s="69" t="s">
        <v>284</v>
      </c>
      <c r="B65" s="132">
        <v>0</v>
      </c>
      <c r="C65" s="80">
        <v>36</v>
      </c>
      <c r="D65" s="73">
        <f>650/1.18</f>
        <v>550.84745762711873</v>
      </c>
    </row>
    <row r="66" spans="1:4" s="55" customFormat="1" ht="16.5" thickBot="1" x14ac:dyDescent="0.3">
      <c r="A66" s="175" t="s">
        <v>285</v>
      </c>
      <c r="B66" s="121">
        <f>SUM(B67:B74)</f>
        <v>153786.02413420469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66940*1.04*1.1194*1.09</f>
        <v>84943.636169600009</v>
      </c>
      <c r="C68" s="56"/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'[1]34тарифы'!D164*B13*1.1194*1.09</f>
        <v>2064.1740327647035</v>
      </c>
      <c r="C70" s="60"/>
      <c r="D70" s="73"/>
    </row>
    <row r="71" spans="1:4" ht="15.75" x14ac:dyDescent="0.25">
      <c r="A71" s="74" t="s">
        <v>290</v>
      </c>
      <c r="B71" s="11">
        <f>5.06*B15</f>
        <v>7764.57</v>
      </c>
      <c r="C71" s="81"/>
      <c r="D71" s="60"/>
    </row>
    <row r="72" spans="1:4" ht="15.75" x14ac:dyDescent="0.25">
      <c r="A72" s="74" t="s">
        <v>291</v>
      </c>
      <c r="B72" s="11">
        <f>17.68*B15</f>
        <v>27129.96</v>
      </c>
      <c r="C72" s="73"/>
      <c r="D72" s="60"/>
    </row>
    <row r="73" spans="1:4" ht="15.75" x14ac:dyDescent="0.25">
      <c r="A73" s="25" t="s">
        <v>292</v>
      </c>
      <c r="B73" s="11">
        <f>2672*1.04*1.1194*1.09</f>
        <v>3390.6393164800002</v>
      </c>
      <c r="C73" s="73"/>
      <c r="D73" s="60"/>
    </row>
    <row r="74" spans="1:4" ht="15.75" x14ac:dyDescent="0.25">
      <c r="A74" s="74" t="s">
        <v>293</v>
      </c>
      <c r="B74" s="11">
        <f>22454*1.04*1.1194*1.09</f>
        <v>28493.044615360002</v>
      </c>
      <c r="C74" s="73"/>
      <c r="D74" s="60"/>
    </row>
    <row r="75" spans="1:4" ht="63" x14ac:dyDescent="0.25">
      <c r="A75" s="213" t="s">
        <v>326</v>
      </c>
      <c r="B75" s="121">
        <f>SUM(B76:B76)</f>
        <v>64769.839817280008</v>
      </c>
      <c r="C75" s="73"/>
      <c r="D75" s="60"/>
    </row>
    <row r="76" spans="1:4" ht="15.75" x14ac:dyDescent="0.25">
      <c r="A76" s="74" t="s">
        <v>295</v>
      </c>
      <c r="B76" s="11">
        <f>51042*1.04*1.1194*1.09</f>
        <v>64769.839817280008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51963.715495081931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</f>
        <v>40344.884894184972</v>
      </c>
      <c r="C78" s="63"/>
      <c r="D78" s="60"/>
    </row>
    <row r="79" spans="1:4" ht="16.5" hidden="1" thickBot="1" x14ac:dyDescent="0.3">
      <c r="A79" s="35" t="s">
        <v>298</v>
      </c>
      <c r="B79" s="11">
        <f>(B26/1.2)*30%</f>
        <v>0</v>
      </c>
      <c r="C79" s="65"/>
      <c r="D79" s="73"/>
    </row>
    <row r="80" spans="1:4" ht="15.75" x14ac:dyDescent="0.25">
      <c r="A80" s="83" t="s">
        <v>328</v>
      </c>
      <c r="B80" s="11">
        <f>3196.75+4747.33</f>
        <v>7944.08</v>
      </c>
      <c r="C80" s="81"/>
      <c r="D80" s="60"/>
    </row>
    <row r="81" spans="1:4" ht="15.75" x14ac:dyDescent="0.25">
      <c r="A81" s="83" t="s">
        <v>329</v>
      </c>
      <c r="B81" s="11">
        <f>'[1]34тарифы'!D173*B13*1.1194*1.09</f>
        <v>3674.7506008969558</v>
      </c>
      <c r="C81" s="73"/>
      <c r="D81" s="60"/>
    </row>
    <row r="82" spans="1:4" ht="15.75" x14ac:dyDescent="0.25">
      <c r="A82" s="214" t="s">
        <v>301</v>
      </c>
      <c r="B82" s="14">
        <f>B32+B42+B46+B66+B75+B77</f>
        <v>334339.31369954924</v>
      </c>
      <c r="C82" s="73"/>
      <c r="D82" s="60"/>
    </row>
    <row r="83" spans="1:4" ht="15.75" x14ac:dyDescent="0.25">
      <c r="A83" s="215" t="s">
        <v>302</v>
      </c>
      <c r="B83" s="11">
        <f>B82*0.03</f>
        <v>10030.179410986477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344369.49311053572</v>
      </c>
      <c r="C84" s="73"/>
      <c r="D84" s="60"/>
    </row>
    <row r="85" spans="1:4" ht="16.5" thickBot="1" x14ac:dyDescent="0.3">
      <c r="A85" s="217" t="s">
        <v>304</v>
      </c>
      <c r="B85" s="142">
        <f>B84*0.2</f>
        <v>68873.898622107154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413243.39173264289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-715439.53173264291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06000000}">
    <filterColumn colId="1">
      <filters>
        <filter val="10 030,18"/>
        <filter val="10 140,27"/>
        <filter val="11 440,44"/>
        <filter val="13 196,04"/>
        <filter val="14 589,99"/>
        <filter val="153 786,02"/>
        <filter val="18 632,98"/>
        <filter val="2 064,17"/>
        <filter val="2 691,72"/>
        <filter val="27 129,96"/>
        <filter val="28 493,04"/>
        <filter val="3 055,77"/>
        <filter val="3 268,56"/>
        <filter val="3 390,64"/>
        <filter val="3 674,75"/>
        <filter val="31 990,71"/>
        <filter val="334 339,31"/>
        <filter val="344 369,49"/>
        <filter val="40 344,88"/>
        <filter val="413 243,39"/>
        <filter val="51 963,72"/>
        <filter val="64 769,84"/>
        <filter val="68 873,90"/>
        <filter val="7 764,57"/>
        <filter val="7 944,08"/>
        <filter val="-715 439,53"/>
        <filter val="84 943,64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5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filterMode="1">
    <pageSetUpPr fitToPage="1"/>
  </sheetPr>
  <dimension ref="A1:G95"/>
  <sheetViews>
    <sheetView view="pageBreakPreview" topLeftCell="A66" zoomScale="75" zoomScaleNormal="100" zoomScaleSheetLayoutView="75" workbookViewId="0">
      <selection activeCell="A24" sqref="A24:B24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160</v>
      </c>
      <c r="B5" s="184"/>
      <c r="C5" s="3"/>
      <c r="D5" s="3"/>
    </row>
    <row r="6" spans="1:4" ht="5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3.5" thickBot="1" x14ac:dyDescent="0.25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34">
        <f>VLOOKUP(A5,мкд!S:T,2,FALSE)</f>
        <v>-556511.71</v>
      </c>
      <c r="C10" s="226"/>
      <c r="D10" s="226"/>
    </row>
    <row r="11" spans="1:4" s="227" customFormat="1" ht="16.5" hidden="1" thickBot="1" x14ac:dyDescent="0.3">
      <c r="A11" s="228" t="s">
        <v>232</v>
      </c>
      <c r="B11" s="235"/>
      <c r="C11" s="230"/>
      <c r="D11" s="230"/>
    </row>
    <row r="12" spans="1:4" ht="15.75" x14ac:dyDescent="0.25">
      <c r="A12" s="231" t="s">
        <v>233</v>
      </c>
      <c r="B12" s="210"/>
      <c r="C12" s="5" t="s">
        <v>234</v>
      </c>
      <c r="D12" s="6" t="s">
        <v>234</v>
      </c>
    </row>
    <row r="13" spans="1:4" ht="15.75" hidden="1" x14ac:dyDescent="0.25">
      <c r="A13" s="107" t="s">
        <v>235</v>
      </c>
      <c r="B13" s="8">
        <v>3547.1</v>
      </c>
      <c r="C13" s="9" t="s">
        <v>234</v>
      </c>
      <c r="D13" s="10" t="s">
        <v>234</v>
      </c>
    </row>
    <row r="14" spans="1:4" ht="15.75" hidden="1" x14ac:dyDescent="0.25">
      <c r="A14" s="107" t="s">
        <v>236</v>
      </c>
      <c r="B14" s="8">
        <v>0</v>
      </c>
      <c r="C14" s="9"/>
      <c r="D14" s="10"/>
    </row>
    <row r="15" spans="1:4" ht="15.75" hidden="1" x14ac:dyDescent="0.25">
      <c r="A15" s="123" t="s">
        <v>237</v>
      </c>
      <c r="B15" s="11">
        <f>B13+B14</f>
        <v>3547.1</v>
      </c>
      <c r="C15" s="9"/>
      <c r="D15" s="10"/>
    </row>
    <row r="16" spans="1:4" ht="15.75" hidden="1" x14ac:dyDescent="0.25">
      <c r="A16" s="123" t="s">
        <v>238</v>
      </c>
      <c r="B16" s="11">
        <f>1291.8+2156.6/3</f>
        <v>2010.6666666666665</v>
      </c>
      <c r="C16" s="9" t="s">
        <v>234</v>
      </c>
      <c r="D16" s="10" t="s">
        <v>234</v>
      </c>
    </row>
    <row r="17" spans="1:7" ht="15.75" hidden="1" x14ac:dyDescent="0.25">
      <c r="A17" s="107" t="s">
        <v>239</v>
      </c>
      <c r="B17" s="8">
        <v>0</v>
      </c>
      <c r="C17" s="9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107" t="s">
        <v>240</v>
      </c>
      <c r="B18" s="8">
        <v>874</v>
      </c>
      <c r="C18" s="9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107" t="s">
        <v>241</v>
      </c>
      <c r="B19" s="8">
        <v>864</v>
      </c>
      <c r="C19" s="9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107" t="s">
        <v>242</v>
      </c>
      <c r="B20" s="8">
        <v>1140</v>
      </c>
      <c r="C20" s="9"/>
      <c r="D20" s="10"/>
      <c r="E20" s="3"/>
      <c r="F20" s="3"/>
      <c r="G20" s="3"/>
    </row>
    <row r="21" spans="1:7" ht="15.75" hidden="1" x14ac:dyDescent="0.25">
      <c r="A21" s="107" t="s">
        <v>243</v>
      </c>
      <c r="B21" s="8">
        <v>0</v>
      </c>
      <c r="C21" s="9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107" t="s">
        <v>244</v>
      </c>
      <c r="B22" s="8">
        <v>182</v>
      </c>
      <c r="C22" s="9"/>
      <c r="D22" s="10"/>
      <c r="E22" s="3"/>
      <c r="F22" s="3"/>
      <c r="G22" s="3"/>
    </row>
    <row r="23" spans="1:7" ht="15.75" x14ac:dyDescent="0.25">
      <c r="A23" s="123"/>
      <c r="B23" s="11"/>
      <c r="C23" s="9"/>
      <c r="D23" s="10"/>
      <c r="E23" s="3">
        <v>10</v>
      </c>
      <c r="F23" s="3">
        <v>2</v>
      </c>
      <c r="G23" s="3"/>
    </row>
    <row r="24" spans="1:7" ht="15.75" x14ac:dyDescent="0.25">
      <c r="A24" s="259" t="s">
        <v>317</v>
      </c>
      <c r="B24" s="255">
        <f>VLOOKUP(A5,мкд!W:X,2,FALSE)</f>
        <v>714628.79999999993</v>
      </c>
      <c r="C24" s="9"/>
      <c r="D24" s="10"/>
      <c r="E24" s="3">
        <v>15</v>
      </c>
      <c r="F24" s="3">
        <v>16.791</v>
      </c>
      <c r="G24" s="3"/>
    </row>
    <row r="25" spans="1:7" ht="15.75" x14ac:dyDescent="0.25">
      <c r="A25" s="124" t="s">
        <v>318</v>
      </c>
      <c r="B25" s="14">
        <f>VLOOKUP(A5,мкд!W:Y,3,FALSE)</f>
        <v>695357.32000000007</v>
      </c>
      <c r="C25" s="9"/>
      <c r="D25" s="10"/>
      <c r="E25" s="3"/>
      <c r="F25" s="3"/>
      <c r="G25" s="3"/>
    </row>
    <row r="26" spans="1:7" ht="15.75" hidden="1" x14ac:dyDescent="0.25">
      <c r="A26" s="124" t="s">
        <v>348</v>
      </c>
      <c r="B26" s="14"/>
      <c r="C26" s="9"/>
      <c r="D26" s="10"/>
      <c r="E26" s="3"/>
      <c r="F26" s="3"/>
      <c r="G26" s="3"/>
    </row>
    <row r="27" spans="1:7" ht="15.75" hidden="1" x14ac:dyDescent="0.25">
      <c r="A27" s="124" t="s">
        <v>349</v>
      </c>
      <c r="B27" s="14"/>
      <c r="C27" s="9"/>
      <c r="D27" s="10"/>
      <c r="E27" s="3"/>
      <c r="F27" s="3"/>
      <c r="G27" s="3"/>
    </row>
    <row r="28" spans="1:7" ht="15.75" x14ac:dyDescent="0.25">
      <c r="A28" s="124" t="s">
        <v>391</v>
      </c>
      <c r="B28" s="14">
        <v>7154.31</v>
      </c>
      <c r="C28" s="9"/>
      <c r="D28" s="10"/>
      <c r="E28" s="3"/>
      <c r="F28" s="3"/>
      <c r="G28" s="3"/>
    </row>
    <row r="29" spans="1:7" ht="15.75" hidden="1" x14ac:dyDescent="0.25">
      <c r="A29" s="124" t="s">
        <v>250</v>
      </c>
      <c r="B29" s="11"/>
      <c r="C29" s="9"/>
      <c r="D29" s="10"/>
      <c r="E29" s="3"/>
      <c r="F29" s="3"/>
      <c r="G29" s="3"/>
    </row>
    <row r="30" spans="1:7" ht="15.75" x14ac:dyDescent="0.25">
      <c r="A30" s="125"/>
      <c r="B30" s="11"/>
      <c r="C30" s="9"/>
      <c r="D30" s="10"/>
      <c r="E30" s="3"/>
      <c r="F30" s="3"/>
      <c r="G30" s="3"/>
    </row>
    <row r="31" spans="1:7" ht="15.75" x14ac:dyDescent="0.25">
      <c r="A31" s="232" t="s">
        <v>251</v>
      </c>
      <c r="B31" s="11"/>
      <c r="C31" s="9"/>
      <c r="D31" s="10"/>
      <c r="E31" s="3"/>
      <c r="F31" s="3"/>
      <c r="G31" s="3"/>
    </row>
    <row r="32" spans="1:7" s="18" customFormat="1" ht="31.5" x14ac:dyDescent="0.25">
      <c r="A32" s="126" t="s">
        <v>252</v>
      </c>
      <c r="B32" s="121">
        <f>SUM(B33:B41)</f>
        <v>129037.37</v>
      </c>
      <c r="C32" s="9"/>
      <c r="D32" s="10"/>
      <c r="E32" s="17">
        <f>(B86-B24-B26)/1.2/1.03</f>
        <v>171329.67066266647</v>
      </c>
      <c r="F32" s="17" t="e">
        <f>(#REF!-#REF!-#REF!)/1.2/1.03</f>
        <v>#REF!</v>
      </c>
      <c r="G32" s="17" t="e">
        <f>(#REF!-#REF!-#REF!)/1.2/1.03</f>
        <v>#REF!</v>
      </c>
    </row>
    <row r="33" spans="1:7" ht="15.75" x14ac:dyDescent="0.25">
      <c r="A33" s="127" t="s">
        <v>253</v>
      </c>
      <c r="B33" s="11">
        <v>74727.070000000007</v>
      </c>
      <c r="C33" s="9"/>
      <c r="D33" s="10">
        <v>37308.6</v>
      </c>
      <c r="E33" s="3"/>
      <c r="F33" s="3"/>
      <c r="G33" s="3"/>
    </row>
    <row r="34" spans="1:7" ht="15.75" x14ac:dyDescent="0.25">
      <c r="A34" s="128" t="s">
        <v>392</v>
      </c>
      <c r="B34" s="8">
        <v>16075.87</v>
      </c>
      <c r="C34" s="9"/>
      <c r="D34" s="10">
        <v>0</v>
      </c>
      <c r="E34" s="3"/>
      <c r="F34" s="3"/>
      <c r="G34" s="3"/>
    </row>
    <row r="35" spans="1:7" ht="15.75" hidden="1" x14ac:dyDescent="0.25">
      <c r="A35" s="128" t="s">
        <v>256</v>
      </c>
      <c r="B35" s="8"/>
      <c r="C35" s="9"/>
      <c r="D35" s="10">
        <v>0</v>
      </c>
      <c r="E35" s="3"/>
      <c r="F35" s="3"/>
      <c r="G35" s="3"/>
    </row>
    <row r="36" spans="1:7" ht="15.75" hidden="1" x14ac:dyDescent="0.25">
      <c r="A36" s="127" t="s">
        <v>255</v>
      </c>
      <c r="B36" s="11"/>
      <c r="C36" s="9" t="s">
        <v>234</v>
      </c>
      <c r="D36" s="10">
        <v>0</v>
      </c>
      <c r="E36" s="3"/>
      <c r="F36" s="3"/>
      <c r="G36" s="3"/>
    </row>
    <row r="37" spans="1:7" ht="15.75" hidden="1" x14ac:dyDescent="0.25">
      <c r="A37" s="127" t="s">
        <v>257</v>
      </c>
      <c r="B37" s="11"/>
      <c r="C37" s="9"/>
      <c r="D37" s="10">
        <v>0</v>
      </c>
      <c r="E37" s="3"/>
      <c r="F37" s="3"/>
      <c r="G37" s="3"/>
    </row>
    <row r="38" spans="1:7" ht="15.75" x14ac:dyDescent="0.25">
      <c r="A38" s="127" t="s">
        <v>335</v>
      </c>
      <c r="B38" s="11">
        <v>38234.43</v>
      </c>
      <c r="C38" s="9"/>
      <c r="D38" s="10">
        <v>0</v>
      </c>
      <c r="E38" s="3"/>
      <c r="F38" s="3"/>
      <c r="G38" s="3"/>
    </row>
    <row r="39" spans="1:7" ht="15.75" hidden="1" x14ac:dyDescent="0.25">
      <c r="A39" s="110" t="s">
        <v>259</v>
      </c>
      <c r="B39" s="8"/>
      <c r="C39" s="9"/>
      <c r="D39" s="10">
        <v>0</v>
      </c>
      <c r="E39" s="3"/>
      <c r="F39" s="3"/>
      <c r="G39" s="3"/>
    </row>
    <row r="40" spans="1:7" ht="15.75" hidden="1" x14ac:dyDescent="0.25">
      <c r="A40" s="19" t="s">
        <v>310</v>
      </c>
      <c r="B40" s="11"/>
      <c r="C40" s="9"/>
      <c r="D40" s="10"/>
      <c r="E40" s="3"/>
      <c r="F40" s="3"/>
      <c r="G40" s="3"/>
    </row>
    <row r="41" spans="1:7" ht="15.75" hidden="1" x14ac:dyDescent="0.25">
      <c r="A41" s="19" t="s">
        <v>400</v>
      </c>
      <c r="B41" s="11"/>
      <c r="C41" s="9"/>
      <c r="D41" s="10"/>
      <c r="E41" s="3"/>
      <c r="F41" s="3"/>
      <c r="G41" s="3"/>
    </row>
    <row r="42" spans="1:7" s="18" customFormat="1" ht="47.25" x14ac:dyDescent="0.25">
      <c r="A42" s="126" t="s">
        <v>393</v>
      </c>
      <c r="B42" s="121">
        <f>SUM(B43:B45)</f>
        <v>70641.514993683406</v>
      </c>
      <c r="C42" s="9"/>
      <c r="D42" s="10"/>
      <c r="E42" s="17"/>
      <c r="F42" s="17"/>
      <c r="G42" s="17"/>
    </row>
    <row r="43" spans="1:7" ht="15.75" x14ac:dyDescent="0.25">
      <c r="A43" s="19" t="s">
        <v>262</v>
      </c>
      <c r="B43" s="11">
        <v>49648.55</v>
      </c>
      <c r="C43" s="23"/>
      <c r="D43" s="24"/>
      <c r="E43" s="3"/>
      <c r="F43" s="3"/>
      <c r="G43" s="3"/>
    </row>
    <row r="44" spans="1:7" ht="15.75" hidden="1" x14ac:dyDescent="0.25">
      <c r="A44" s="19" t="s">
        <v>263</v>
      </c>
      <c r="B44" s="11"/>
      <c r="C44" s="23"/>
      <c r="D44" s="24"/>
      <c r="E44" s="3"/>
      <c r="F44" s="3"/>
      <c r="G44" s="3"/>
    </row>
    <row r="45" spans="1:7" ht="15.75" x14ac:dyDescent="0.25">
      <c r="A45" s="129" t="s">
        <v>264</v>
      </c>
      <c r="B45" s="11">
        <f>'[4]32тарифы'!D163*B15*1.0952+341.41*1.12</f>
        <v>20992.964993683399</v>
      </c>
      <c r="C45" s="23"/>
      <c r="D45" s="24"/>
      <c r="E45" s="3"/>
      <c r="F45" s="3"/>
      <c r="G45" s="3"/>
    </row>
    <row r="46" spans="1:7" s="4" customFormat="1" ht="15.75" x14ac:dyDescent="0.25">
      <c r="A46" s="126" t="s">
        <v>265</v>
      </c>
      <c r="B46" s="121">
        <f>SUM(B47:B65)</f>
        <v>44124.95</v>
      </c>
      <c r="C46" s="9"/>
      <c r="D46" s="10"/>
    </row>
    <row r="47" spans="1:7" ht="15.75" x14ac:dyDescent="0.25">
      <c r="A47" s="127" t="s">
        <v>324</v>
      </c>
      <c r="B47" s="11">
        <v>3670.8</v>
      </c>
      <c r="C47" s="9"/>
      <c r="D47" s="10"/>
      <c r="E47" s="3" t="s">
        <v>267</v>
      </c>
      <c r="F47" s="3"/>
      <c r="G47" s="3"/>
    </row>
    <row r="48" spans="1:7" ht="15.75" x14ac:dyDescent="0.25">
      <c r="A48" s="127" t="s">
        <v>315</v>
      </c>
      <c r="B48" s="11">
        <v>4457.3999999999996</v>
      </c>
      <c r="C48" s="9"/>
      <c r="D48" s="10"/>
      <c r="E48" s="3" t="s">
        <v>269</v>
      </c>
      <c r="F48" s="3"/>
      <c r="G48" s="3"/>
    </row>
    <row r="49" spans="1:5" ht="15.75" hidden="1" x14ac:dyDescent="0.25">
      <c r="A49" s="95" t="s">
        <v>270</v>
      </c>
      <c r="B49" s="11"/>
      <c r="C49" s="9"/>
      <c r="D49" s="10"/>
      <c r="E49" s="3"/>
    </row>
    <row r="50" spans="1:5" ht="15.75" hidden="1" x14ac:dyDescent="0.25">
      <c r="A50" s="131" t="s">
        <v>373</v>
      </c>
      <c r="B50" s="8"/>
      <c r="C50" s="9"/>
      <c r="D50" s="10"/>
      <c r="E50" s="3"/>
    </row>
    <row r="51" spans="1:5" ht="15.75" hidden="1" x14ac:dyDescent="0.25">
      <c r="A51" s="95" t="s">
        <v>272</v>
      </c>
      <c r="B51" s="11"/>
      <c r="C51" s="9"/>
      <c r="D51" s="10"/>
      <c r="E51" s="3"/>
    </row>
    <row r="52" spans="1:5" ht="15.75" hidden="1" x14ac:dyDescent="0.25">
      <c r="A52" s="95" t="s">
        <v>314</v>
      </c>
      <c r="B52" s="11">
        <f>B21*'[4]32тарифы'!D177</f>
        <v>0</v>
      </c>
      <c r="C52" s="9"/>
      <c r="D52" s="10">
        <v>105.14</v>
      </c>
      <c r="E52" s="3"/>
    </row>
    <row r="53" spans="1:5" ht="15.75" hidden="1" x14ac:dyDescent="0.25">
      <c r="A53" s="131" t="s">
        <v>274</v>
      </c>
      <c r="B53" s="8">
        <v>0</v>
      </c>
      <c r="C53" s="9">
        <v>0</v>
      </c>
      <c r="D53" s="10">
        <v>522.99</v>
      </c>
      <c r="E53" s="3"/>
    </row>
    <row r="54" spans="1:5" ht="15.75" x14ac:dyDescent="0.25">
      <c r="A54" s="111" t="s">
        <v>275</v>
      </c>
      <c r="B54" s="8">
        <v>8133.61</v>
      </c>
      <c r="C54" s="9">
        <v>1</v>
      </c>
      <c r="D54" s="28">
        <v>695.13</v>
      </c>
      <c r="E54" s="3"/>
    </row>
    <row r="55" spans="1:5" ht="15.75" hidden="1" x14ac:dyDescent="0.25">
      <c r="A55" s="95" t="s">
        <v>403</v>
      </c>
      <c r="B55" s="11"/>
      <c r="C55" s="9"/>
      <c r="D55" s="28"/>
      <c r="E55" s="3"/>
    </row>
    <row r="56" spans="1:5" ht="15.75" hidden="1" x14ac:dyDescent="0.25">
      <c r="A56" s="95" t="s">
        <v>277</v>
      </c>
      <c r="B56" s="11"/>
      <c r="C56" s="9">
        <v>0</v>
      </c>
      <c r="D56" s="10">
        <f>10695.76/1.18</f>
        <v>9064.203389830509</v>
      </c>
      <c r="E56" s="3"/>
    </row>
    <row r="57" spans="1:5" ht="15.75" hidden="1" x14ac:dyDescent="0.25">
      <c r="A57" s="95" t="s">
        <v>373</v>
      </c>
      <c r="B57" s="11"/>
      <c r="C57" s="9">
        <v>0</v>
      </c>
      <c r="D57" s="10">
        <f>2300/1.18</f>
        <v>1949.1525423728815</v>
      </c>
      <c r="E57" s="3"/>
    </row>
    <row r="58" spans="1:5" ht="15.75" hidden="1" x14ac:dyDescent="0.25">
      <c r="A58" s="131" t="s">
        <v>407</v>
      </c>
      <c r="B58" s="8"/>
      <c r="C58" s="9">
        <v>0</v>
      </c>
      <c r="D58" s="10">
        <v>0</v>
      </c>
      <c r="E58" s="3"/>
    </row>
    <row r="59" spans="1:5" ht="15.75" hidden="1" x14ac:dyDescent="0.25">
      <c r="A59" s="131" t="s">
        <v>278</v>
      </c>
      <c r="B59" s="8">
        <f>B13*'[4]32тарифы'!D184</f>
        <v>0</v>
      </c>
      <c r="C59" s="9"/>
      <c r="D59" s="10"/>
      <c r="E59" s="3"/>
    </row>
    <row r="60" spans="1:5" ht="15.75" customHeight="1" x14ac:dyDescent="0.25">
      <c r="A60" s="110" t="s">
        <v>408</v>
      </c>
      <c r="B60" s="8">
        <v>145.34</v>
      </c>
      <c r="C60" s="9"/>
      <c r="D60" s="10"/>
      <c r="E60" s="3"/>
    </row>
    <row r="61" spans="1:5" ht="15.75" x14ac:dyDescent="0.25">
      <c r="A61" s="110" t="s">
        <v>520</v>
      </c>
      <c r="B61" s="8">
        <v>4200</v>
      </c>
      <c r="C61" s="9"/>
      <c r="D61" s="10">
        <v>0</v>
      </c>
      <c r="E61" s="130">
        <f>B80+B46-B59+496.31</f>
        <v>59619.869999999995</v>
      </c>
    </row>
    <row r="62" spans="1:5" ht="15.75" hidden="1" x14ac:dyDescent="0.25">
      <c r="A62" s="127" t="s">
        <v>409</v>
      </c>
      <c r="B62" s="11"/>
      <c r="C62" s="9"/>
      <c r="D62" s="10">
        <v>0</v>
      </c>
      <c r="E62" s="3"/>
    </row>
    <row r="63" spans="1:5" ht="15.75" x14ac:dyDescent="0.25">
      <c r="A63" s="127" t="s">
        <v>397</v>
      </c>
      <c r="B63" s="132">
        <v>23517.8</v>
      </c>
      <c r="C63" s="30">
        <v>1</v>
      </c>
      <c r="D63" s="10">
        <v>0</v>
      </c>
      <c r="E63" s="3"/>
    </row>
    <row r="64" spans="1:5" ht="15.75" hidden="1" x14ac:dyDescent="0.25">
      <c r="A64" s="19" t="s">
        <v>344</v>
      </c>
      <c r="B64" s="132"/>
      <c r="C64" s="30">
        <v>80</v>
      </c>
      <c r="D64" s="10">
        <v>2</v>
      </c>
      <c r="E64" s="3">
        <v>1</v>
      </c>
    </row>
    <row r="65" spans="1:4" ht="15.75" hidden="1" x14ac:dyDescent="0.25">
      <c r="A65" s="19" t="s">
        <v>342</v>
      </c>
      <c r="B65" s="132"/>
      <c r="C65" s="32"/>
      <c r="D65" s="24">
        <v>0</v>
      </c>
    </row>
    <row r="66" spans="1:4" s="4" customFormat="1" ht="15.75" x14ac:dyDescent="0.25">
      <c r="A66" s="133" t="s">
        <v>285</v>
      </c>
      <c r="B66" s="121">
        <f>SUM(B67:B74)</f>
        <v>256867.61930693968</v>
      </c>
      <c r="C66" s="23"/>
      <c r="D66" s="24"/>
    </row>
    <row r="67" spans="1:4" ht="15.75" hidden="1" x14ac:dyDescent="0.25">
      <c r="A67" s="110" t="s">
        <v>286</v>
      </c>
      <c r="B67" s="8"/>
      <c r="C67" s="23"/>
      <c r="D67" s="24"/>
    </row>
    <row r="68" spans="1:4" ht="15.75" x14ac:dyDescent="0.25">
      <c r="A68" s="127" t="s">
        <v>287</v>
      </c>
      <c r="B68" s="135">
        <f>76320*1.04*1.12*1.0952</f>
        <v>97360.581427199999</v>
      </c>
      <c r="C68" s="23"/>
      <c r="D68" s="24"/>
    </row>
    <row r="69" spans="1:4" ht="15.75" hidden="1" x14ac:dyDescent="0.25">
      <c r="A69" s="110" t="s">
        <v>288</v>
      </c>
      <c r="B69" s="8"/>
      <c r="C69" s="23"/>
      <c r="D69" s="24"/>
    </row>
    <row r="70" spans="1:4" ht="15.75" x14ac:dyDescent="0.25">
      <c r="A70" s="129" t="s">
        <v>289</v>
      </c>
      <c r="B70" s="11">
        <f>1.35*B15</f>
        <v>4788.585</v>
      </c>
      <c r="C70" s="23"/>
      <c r="D70" s="24"/>
    </row>
    <row r="71" spans="1:4" ht="15.75" x14ac:dyDescent="0.25">
      <c r="A71" s="129" t="s">
        <v>290</v>
      </c>
      <c r="B71" s="11">
        <f>5.06*B15</f>
        <v>17948.325999999997</v>
      </c>
      <c r="C71" s="23"/>
      <c r="D71" s="24"/>
    </row>
    <row r="72" spans="1:4" ht="15.75" x14ac:dyDescent="0.25">
      <c r="A72" s="129" t="s">
        <v>291</v>
      </c>
      <c r="B72" s="11">
        <f>17.68*B15</f>
        <v>62712.727999999996</v>
      </c>
      <c r="C72" s="23"/>
      <c r="D72" s="24"/>
    </row>
    <row r="73" spans="1:4" ht="15.75" x14ac:dyDescent="0.25">
      <c r="A73" s="129" t="s">
        <v>292</v>
      </c>
      <c r="B73" s="11">
        <f>1.04*6147.25930692487*1.12*1.0952</f>
        <v>7841.9908321013081</v>
      </c>
      <c r="C73" s="23"/>
      <c r="D73" s="24"/>
    </row>
    <row r="74" spans="1:4" ht="15.75" x14ac:dyDescent="0.25">
      <c r="A74" s="129" t="s">
        <v>293</v>
      </c>
      <c r="B74" s="11">
        <f>1.04*51905.6056169353*1.12*1.0952</f>
        <v>66215.408047638368</v>
      </c>
      <c r="C74" s="23"/>
      <c r="D74" s="24"/>
    </row>
    <row r="75" spans="1:4" ht="63" x14ac:dyDescent="0.25">
      <c r="A75" s="136" t="s">
        <v>294</v>
      </c>
      <c r="B75" s="121">
        <f>SUM(B76:B76)</f>
        <v>132207.987968</v>
      </c>
      <c r="C75" s="23"/>
      <c r="D75" s="24"/>
    </row>
    <row r="76" spans="1:4" ht="15.75" x14ac:dyDescent="0.25">
      <c r="A76" s="129" t="s">
        <v>295</v>
      </c>
      <c r="B76" s="11">
        <f>107782*1.12*1.0952</f>
        <v>132207.987968</v>
      </c>
      <c r="C76" s="23"/>
      <c r="D76" s="24"/>
    </row>
    <row r="77" spans="1:4" s="4" customFormat="1" ht="15.75" x14ac:dyDescent="0.25">
      <c r="A77" s="133" t="s">
        <v>296</v>
      </c>
      <c r="B77" s="121">
        <f>SUM(B78:B81)</f>
        <v>116628.86917074246</v>
      </c>
      <c r="C77" s="23"/>
      <c r="D77" s="24"/>
    </row>
    <row r="78" spans="1:4" ht="15.75" x14ac:dyDescent="0.25">
      <c r="A78" s="137" t="s">
        <v>297</v>
      </c>
      <c r="B78" s="11">
        <f>'[4]32тарифы'!D170*B15*1.12*1.0952</f>
        <v>93755.051681067082</v>
      </c>
      <c r="C78" s="23"/>
      <c r="D78" s="24"/>
    </row>
    <row r="79" spans="1:4" ht="15.75" hidden="1" x14ac:dyDescent="0.25">
      <c r="A79" s="137" t="s">
        <v>298</v>
      </c>
      <c r="B79" s="135">
        <f>(B26/1.2)*30%</f>
        <v>0</v>
      </c>
      <c r="C79" s="23"/>
      <c r="D79" s="24"/>
    </row>
    <row r="80" spans="1:4" ht="15.75" x14ac:dyDescent="0.25">
      <c r="A80" s="138" t="s">
        <v>299</v>
      </c>
      <c r="B80" s="11">
        <f>7522.27+7476.34</f>
        <v>14998.61</v>
      </c>
      <c r="C80" s="23"/>
      <c r="D80" s="24"/>
    </row>
    <row r="81" spans="1:4" ht="15.75" x14ac:dyDescent="0.25">
      <c r="A81" s="138" t="s">
        <v>300</v>
      </c>
      <c r="B81" s="11">
        <f>'[4]32тарифы'!D173*B13*1.12*1.01</f>
        <v>7875.2074896753711</v>
      </c>
      <c r="C81" s="23"/>
      <c r="D81" s="24"/>
    </row>
    <row r="82" spans="1:4" ht="15.75" x14ac:dyDescent="0.25">
      <c r="A82" s="233" t="s">
        <v>301</v>
      </c>
      <c r="B82" s="14">
        <f>B32+B42+B46+B66+B75+B77</f>
        <v>749508.3114393655</v>
      </c>
      <c r="C82" s="23"/>
      <c r="D82" s="24"/>
    </row>
    <row r="83" spans="1:4" ht="15.75" x14ac:dyDescent="0.25">
      <c r="A83" s="139" t="s">
        <v>302</v>
      </c>
      <c r="B83" s="11">
        <f>B82*0.03</f>
        <v>22485.249343180963</v>
      </c>
      <c r="C83" s="23"/>
      <c r="D83" s="24"/>
    </row>
    <row r="84" spans="1:4" s="18" customFormat="1" ht="15.75" x14ac:dyDescent="0.25">
      <c r="A84" s="140" t="s">
        <v>303</v>
      </c>
      <c r="B84" s="121">
        <f>B82+B83</f>
        <v>771993.56078254641</v>
      </c>
      <c r="C84" s="23"/>
      <c r="D84" s="24"/>
    </row>
    <row r="85" spans="1:4" ht="16.5" thickBot="1" x14ac:dyDescent="0.3">
      <c r="A85" s="141" t="s">
        <v>304</v>
      </c>
      <c r="B85" s="142">
        <f>B84*0.2</f>
        <v>154398.71215650928</v>
      </c>
      <c r="C85" s="23"/>
      <c r="D85" s="24"/>
    </row>
    <row r="86" spans="1:4" s="4" customFormat="1" ht="16.5" thickBot="1" x14ac:dyDescent="0.3">
      <c r="A86" s="38" t="s">
        <v>305</v>
      </c>
      <c r="B86" s="46">
        <f>B84+B85</f>
        <v>926392.27293905569</v>
      </c>
      <c r="C86" s="40"/>
      <c r="D86" s="41"/>
    </row>
    <row r="87" spans="1:4" s="4" customFormat="1" ht="16.5" thickBot="1" x14ac:dyDescent="0.3">
      <c r="A87" s="42" t="s">
        <v>306</v>
      </c>
      <c r="B87" s="46">
        <f>B10+B24+B26+B28+B29-B86</f>
        <v>-761120.87293905579</v>
      </c>
      <c r="C87" s="43"/>
      <c r="D87" s="43"/>
    </row>
    <row r="88" spans="1:4" s="4" customFormat="1" ht="16.5" hidden="1" thickBot="1" x14ac:dyDescent="0.3">
      <c r="A88" s="44" t="s">
        <v>307</v>
      </c>
      <c r="B88" s="46"/>
      <c r="C88" s="43"/>
      <c r="D88" s="43"/>
    </row>
    <row r="89" spans="1:4" s="4" customFormat="1" ht="16.5" hidden="1" thickBot="1" x14ac:dyDescent="0.3">
      <c r="A89" s="143" t="s">
        <v>308</v>
      </c>
      <c r="B89" s="46"/>
      <c r="C89" s="43"/>
      <c r="D89" s="43"/>
    </row>
    <row r="90" spans="1:4" ht="15.75" x14ac:dyDescent="0.25">
      <c r="A90" s="3"/>
      <c r="B90" s="130"/>
      <c r="C90" s="3"/>
      <c r="D90" s="3"/>
    </row>
    <row r="91" spans="1:4" ht="15.75" x14ac:dyDescent="0.25">
      <c r="A91" s="49"/>
      <c r="B91" s="3"/>
      <c r="C91" s="3"/>
      <c r="D91" s="3"/>
    </row>
    <row r="92" spans="1:4" ht="15.75" x14ac:dyDescent="0.25">
      <c r="A92" s="286" t="s">
        <v>542</v>
      </c>
      <c r="B92" s="286"/>
      <c r="C92" s="3"/>
      <c r="D92" s="3"/>
    </row>
    <row r="93" spans="1:4" ht="15.75" x14ac:dyDescent="0.25">
      <c r="A93" s="49"/>
      <c r="B93" s="3"/>
      <c r="C93" s="3"/>
      <c r="D93" s="3"/>
    </row>
    <row r="94" spans="1:4" ht="15.75" hidden="1" x14ac:dyDescent="0.25">
      <c r="A94" s="292" t="s">
        <v>399</v>
      </c>
      <c r="B94" s="292"/>
      <c r="C94" s="51"/>
      <c r="D94" s="3"/>
    </row>
    <row r="95" spans="1:4" ht="15.75" x14ac:dyDescent="0.25">
      <c r="A95" s="3"/>
      <c r="B95" s="3"/>
      <c r="C95" s="3"/>
      <c r="D95" s="3"/>
    </row>
  </sheetData>
  <autoFilter ref="A32:G89" xr:uid="{00000000-0009-0000-0000-000045000000}">
    <filterColumn colId="1">
      <filters>
        <filter val="116 628,87"/>
        <filter val="132 207,99"/>
        <filter val="14 998,61"/>
        <filter val="145,34"/>
        <filter val="154 398,71"/>
        <filter val="16 075,87"/>
        <filter val="17 948,33"/>
        <filter val="20 992,96"/>
        <filter val="22 485,25"/>
        <filter val="23 517,80"/>
        <filter val="256 867,62"/>
        <filter val="3 670,80"/>
        <filter val="38 234,43"/>
        <filter val="4 200,00"/>
        <filter val="4 457,40"/>
        <filter val="4 788,59"/>
        <filter val="44 124,95"/>
        <filter val="49 648,55"/>
        <filter val="62 712,73"/>
        <filter val="66 215,41"/>
        <filter val="7 841,99"/>
        <filter val="7 875,21"/>
        <filter val="70 641,51"/>
        <filter val="74 727,07"/>
        <filter val="749 508,31"/>
        <filter val="-761 120,87"/>
        <filter val="771 993,56"/>
        <filter val="8 133,61"/>
        <filter val="926 392,27"/>
        <filter val="93 755,05"/>
        <filter val="97 360,58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5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filterMode="1">
    <pageSetUpPr fitToPage="1"/>
  </sheetPr>
  <dimension ref="A1:G95"/>
  <sheetViews>
    <sheetView view="pageBreakPreview" topLeftCell="A64" zoomScale="75" zoomScaleNormal="100" zoomScaleSheetLayoutView="75" workbookViewId="0">
      <selection activeCell="A24" sqref="A24:B24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4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161</v>
      </c>
      <c r="B5" s="184"/>
      <c r="C5" s="3"/>
      <c r="D5" s="3"/>
    </row>
    <row r="6" spans="1:4" ht="5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3.5" thickBot="1" x14ac:dyDescent="0.25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f>VLOOKUP(A5,мкд!S:T,2,FALSE)</f>
        <v>-636429.01</v>
      </c>
      <c r="C10" s="226"/>
      <c r="D10" s="226"/>
    </row>
    <row r="11" spans="1:4" s="227" customFormat="1" ht="16.5" hidden="1" thickBot="1" x14ac:dyDescent="0.3">
      <c r="A11" s="228" t="s">
        <v>232</v>
      </c>
      <c r="B11" s="229"/>
      <c r="C11" s="230"/>
      <c r="D11" s="230"/>
    </row>
    <row r="12" spans="1:4" ht="15.75" x14ac:dyDescent="0.25">
      <c r="A12" s="231" t="s">
        <v>233</v>
      </c>
      <c r="B12" s="210"/>
      <c r="C12" s="5" t="s">
        <v>234</v>
      </c>
      <c r="D12" s="6" t="s">
        <v>234</v>
      </c>
    </row>
    <row r="13" spans="1:4" ht="15.75" hidden="1" x14ac:dyDescent="0.25">
      <c r="A13" s="107" t="s">
        <v>235</v>
      </c>
      <c r="B13" s="8">
        <v>1485.6</v>
      </c>
      <c r="C13" s="122" t="s">
        <v>234</v>
      </c>
      <c r="D13" s="10" t="s">
        <v>234</v>
      </c>
    </row>
    <row r="14" spans="1:4" ht="15.75" hidden="1" x14ac:dyDescent="0.25">
      <c r="A14" s="107" t="s">
        <v>236</v>
      </c>
      <c r="B14" s="8">
        <v>137.69999999999999</v>
      </c>
      <c r="C14" s="122"/>
      <c r="D14" s="10"/>
    </row>
    <row r="15" spans="1:4" ht="15.75" hidden="1" x14ac:dyDescent="0.25">
      <c r="A15" s="123" t="s">
        <v>237</v>
      </c>
      <c r="B15" s="11">
        <f>B13+B14</f>
        <v>1623.3</v>
      </c>
      <c r="C15" s="9"/>
      <c r="D15" s="10"/>
    </row>
    <row r="16" spans="1:4" ht="15.75" hidden="1" x14ac:dyDescent="0.25">
      <c r="A16" s="123" t="s">
        <v>238</v>
      </c>
      <c r="B16" s="11">
        <f>798.7+1762.2/3</f>
        <v>1386.1</v>
      </c>
      <c r="C16" s="9" t="s">
        <v>234</v>
      </c>
      <c r="D16" s="10" t="s">
        <v>234</v>
      </c>
    </row>
    <row r="17" spans="1:7" ht="15.75" hidden="1" x14ac:dyDescent="0.25">
      <c r="A17" s="107" t="s">
        <v>239</v>
      </c>
      <c r="B17" s="8">
        <v>0</v>
      </c>
      <c r="C17" s="122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107" t="s">
        <v>240</v>
      </c>
      <c r="B18" s="8">
        <v>450</v>
      </c>
      <c r="C18" s="122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107" t="s">
        <v>241</v>
      </c>
      <c r="B19" s="8">
        <v>864</v>
      </c>
      <c r="C19" s="122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107" t="s">
        <v>242</v>
      </c>
      <c r="B20" s="8">
        <v>1148</v>
      </c>
      <c r="C20" s="122"/>
      <c r="D20" s="10"/>
      <c r="E20" s="3"/>
      <c r="F20" s="3"/>
      <c r="G20" s="3"/>
    </row>
    <row r="21" spans="1:7" ht="15.75" hidden="1" x14ac:dyDescent="0.25">
      <c r="A21" s="107" t="s">
        <v>243</v>
      </c>
      <c r="B21" s="8">
        <v>0</v>
      </c>
      <c r="C21" s="122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107" t="s">
        <v>244</v>
      </c>
      <c r="B22" s="8">
        <v>86</v>
      </c>
      <c r="C22" s="122"/>
      <c r="D22" s="10"/>
      <c r="E22" s="3"/>
      <c r="F22" s="3"/>
      <c r="G22" s="3"/>
    </row>
    <row r="23" spans="1:7" ht="15.75" x14ac:dyDescent="0.25">
      <c r="A23" s="123"/>
      <c r="B23" s="11"/>
      <c r="C23" s="9"/>
      <c r="D23" s="144"/>
      <c r="E23" s="236">
        <v>10</v>
      </c>
      <c r="F23" s="236">
        <v>2</v>
      </c>
      <c r="G23" s="3"/>
    </row>
    <row r="24" spans="1:7" ht="15.75" x14ac:dyDescent="0.25">
      <c r="A24" s="259" t="s">
        <v>317</v>
      </c>
      <c r="B24" s="255">
        <f>VLOOKUP(A5,мкд!W:X,2,FALSE)</f>
        <v>348109.55</v>
      </c>
      <c r="C24" s="9"/>
      <c r="D24" s="144"/>
      <c r="E24" s="236">
        <v>18</v>
      </c>
      <c r="F24" s="236">
        <v>20.1492</v>
      </c>
      <c r="G24" s="3"/>
    </row>
    <row r="25" spans="1:7" ht="15.75" x14ac:dyDescent="0.25">
      <c r="A25" s="124" t="s">
        <v>318</v>
      </c>
      <c r="B25" s="14">
        <f>VLOOKUP(A5,мкд!W:Y,3,FALSE)</f>
        <v>309024.34000000003</v>
      </c>
      <c r="C25" s="9"/>
      <c r="D25" s="10"/>
      <c r="E25" s="3"/>
      <c r="F25" s="3"/>
      <c r="G25" s="3"/>
    </row>
    <row r="26" spans="1:7" ht="15.75" x14ac:dyDescent="0.25">
      <c r="A26" s="124" t="s">
        <v>348</v>
      </c>
      <c r="B26" s="14">
        <v>29739.49</v>
      </c>
      <c r="C26" s="9"/>
      <c r="D26" s="10"/>
      <c r="E26" s="3"/>
      <c r="F26" s="3"/>
      <c r="G26" s="3"/>
    </row>
    <row r="27" spans="1:7" ht="15.75" x14ac:dyDescent="0.25">
      <c r="A27" s="124" t="s">
        <v>349</v>
      </c>
      <c r="B27" s="14">
        <v>32822.14</v>
      </c>
      <c r="C27" s="9"/>
      <c r="D27" s="10"/>
      <c r="E27" s="3"/>
      <c r="F27" s="3"/>
      <c r="G27" s="3"/>
    </row>
    <row r="28" spans="1:7" ht="15.75" x14ac:dyDescent="0.25">
      <c r="A28" s="124" t="s">
        <v>391</v>
      </c>
      <c r="B28" s="14">
        <v>7154.31</v>
      </c>
      <c r="C28" s="9"/>
      <c r="D28" s="10"/>
      <c r="E28" s="3"/>
      <c r="F28" s="3"/>
      <c r="G28" s="3"/>
    </row>
    <row r="29" spans="1:7" ht="15.75" x14ac:dyDescent="0.25">
      <c r="A29" s="124" t="s">
        <v>250</v>
      </c>
      <c r="B29" s="11"/>
      <c r="C29" s="9"/>
      <c r="D29" s="10"/>
      <c r="E29" s="3"/>
      <c r="F29" s="3"/>
      <c r="G29" s="3"/>
    </row>
    <row r="30" spans="1:7" ht="15.75" x14ac:dyDescent="0.25">
      <c r="A30" s="125"/>
      <c r="B30" s="11"/>
      <c r="C30" s="9"/>
      <c r="D30" s="10"/>
      <c r="E30" s="3"/>
      <c r="F30" s="3"/>
      <c r="G30" s="3"/>
    </row>
    <row r="31" spans="1:7" ht="15.75" x14ac:dyDescent="0.25">
      <c r="A31" s="232" t="s">
        <v>251</v>
      </c>
      <c r="B31" s="11"/>
      <c r="C31" s="9"/>
      <c r="D31" s="10"/>
      <c r="E31" s="3"/>
      <c r="F31" s="3"/>
      <c r="G31" s="3"/>
    </row>
    <row r="32" spans="1:7" s="18" customFormat="1" ht="31.5" x14ac:dyDescent="0.25">
      <c r="A32" s="126" t="s">
        <v>252</v>
      </c>
      <c r="B32" s="121">
        <f>SUM(B33:B41)</f>
        <v>62022.28</v>
      </c>
      <c r="C32" s="9"/>
      <c r="D32" s="10"/>
      <c r="E32" s="17">
        <f>(B86-B24-B26)/1.2/1.03</f>
        <v>79760.822960359597</v>
      </c>
      <c r="F32" s="17" t="e">
        <f>(#REF!-#REF!-#REF!)/1.2/1.03</f>
        <v>#REF!</v>
      </c>
      <c r="G32" s="17" t="e">
        <f>(#REF!-#REF!-#REF!)/1.2/1.03</f>
        <v>#REF!</v>
      </c>
    </row>
    <row r="33" spans="1:7" ht="15.75" x14ac:dyDescent="0.25">
      <c r="A33" s="127" t="s">
        <v>253</v>
      </c>
      <c r="B33" s="11">
        <v>40360.019999999997</v>
      </c>
      <c r="C33" s="9"/>
      <c r="D33" s="10">
        <v>43887.93</v>
      </c>
      <c r="E33" s="3"/>
      <c r="F33" s="3"/>
      <c r="G33" s="3"/>
    </row>
    <row r="34" spans="1:7" ht="15.75" hidden="1" x14ac:dyDescent="0.25">
      <c r="A34" s="128" t="s">
        <v>320</v>
      </c>
      <c r="B34" s="8"/>
      <c r="C34" s="122"/>
      <c r="D34" s="10">
        <v>0</v>
      </c>
      <c r="E34" s="3"/>
      <c r="F34" s="3"/>
      <c r="G34" s="3"/>
    </row>
    <row r="35" spans="1:7" ht="15.75" hidden="1" x14ac:dyDescent="0.25">
      <c r="A35" s="128" t="s">
        <v>256</v>
      </c>
      <c r="B35" s="8"/>
      <c r="C35" s="122"/>
      <c r="D35" s="10">
        <v>0</v>
      </c>
      <c r="E35" s="3"/>
      <c r="F35" s="3"/>
      <c r="G35" s="3"/>
    </row>
    <row r="36" spans="1:7" ht="15.75" x14ac:dyDescent="0.25">
      <c r="A36" s="127" t="s">
        <v>255</v>
      </c>
      <c r="B36" s="11">
        <v>12455.9</v>
      </c>
      <c r="C36" s="9" t="s">
        <v>234</v>
      </c>
      <c r="D36" s="10">
        <v>0</v>
      </c>
      <c r="E36" s="3"/>
      <c r="F36" s="3"/>
      <c r="G36" s="3"/>
    </row>
    <row r="37" spans="1:7" ht="15.75" x14ac:dyDescent="0.25">
      <c r="A37" s="127" t="s">
        <v>392</v>
      </c>
      <c r="B37" s="11">
        <v>9206.36</v>
      </c>
      <c r="C37" s="9"/>
      <c r="D37" s="10">
        <v>0</v>
      </c>
      <c r="E37" s="3"/>
      <c r="F37" s="3"/>
      <c r="G37" s="3"/>
    </row>
    <row r="38" spans="1:7" ht="15.75" hidden="1" x14ac:dyDescent="0.25">
      <c r="A38" s="127" t="s">
        <v>258</v>
      </c>
      <c r="B38" s="11"/>
      <c r="C38" s="9"/>
      <c r="D38" s="10">
        <v>0</v>
      </c>
      <c r="E38" s="3"/>
      <c r="F38" s="3"/>
      <c r="G38" s="3"/>
    </row>
    <row r="39" spans="1:7" ht="15.75" hidden="1" x14ac:dyDescent="0.25">
      <c r="A39" s="110" t="s">
        <v>259</v>
      </c>
      <c r="B39" s="8"/>
      <c r="C39" s="122"/>
      <c r="D39" s="10">
        <v>0</v>
      </c>
      <c r="E39" s="3"/>
      <c r="F39" s="3"/>
      <c r="G39" s="3"/>
    </row>
    <row r="40" spans="1:7" ht="15.75" hidden="1" x14ac:dyDescent="0.25">
      <c r="A40" s="19" t="s">
        <v>310</v>
      </c>
      <c r="B40" s="11"/>
      <c r="C40" s="9"/>
      <c r="D40" s="10"/>
      <c r="E40" s="3"/>
      <c r="F40" s="3"/>
      <c r="G40" s="3"/>
    </row>
    <row r="41" spans="1:7" ht="15.75" hidden="1" x14ac:dyDescent="0.25">
      <c r="A41" s="19" t="s">
        <v>400</v>
      </c>
      <c r="B41" s="11"/>
      <c r="C41" s="9"/>
      <c r="D41" s="10"/>
      <c r="E41" s="3"/>
      <c r="F41" s="3"/>
      <c r="G41" s="3"/>
    </row>
    <row r="42" spans="1:7" s="18" customFormat="1" ht="47.25" x14ac:dyDescent="0.25">
      <c r="A42" s="126" t="s">
        <v>393</v>
      </c>
      <c r="B42" s="121">
        <f>SUM(B43:B45)</f>
        <v>9619.5896417936528</v>
      </c>
      <c r="C42" s="9"/>
      <c r="D42" s="10"/>
      <c r="E42" s="17"/>
      <c r="F42" s="17"/>
      <c r="G42" s="17"/>
    </row>
    <row r="43" spans="1:7" ht="15.75" hidden="1" x14ac:dyDescent="0.25">
      <c r="A43" s="19" t="s">
        <v>262</v>
      </c>
      <c r="B43" s="11"/>
      <c r="C43" s="23"/>
      <c r="D43" s="24"/>
      <c r="E43" s="3"/>
      <c r="F43" s="3"/>
      <c r="G43" s="3"/>
    </row>
    <row r="44" spans="1:7" ht="15.75" hidden="1" x14ac:dyDescent="0.25">
      <c r="A44" s="19" t="s">
        <v>263</v>
      </c>
      <c r="B44" s="11"/>
      <c r="C44" s="23"/>
      <c r="D44" s="24"/>
      <c r="E44" s="3"/>
      <c r="F44" s="3"/>
      <c r="G44" s="3"/>
    </row>
    <row r="45" spans="1:7" ht="15.75" x14ac:dyDescent="0.25">
      <c r="A45" s="129" t="s">
        <v>264</v>
      </c>
      <c r="B45" s="11">
        <f>'[4]32тарифы'!D163*B15*1.0952+167.26*1.12</f>
        <v>9619.5896417936528</v>
      </c>
      <c r="C45" s="23"/>
      <c r="D45" s="24"/>
      <c r="E45" s="3"/>
      <c r="F45" s="3"/>
      <c r="G45" s="3"/>
    </row>
    <row r="46" spans="1:7" s="4" customFormat="1" ht="15.75" x14ac:dyDescent="0.25">
      <c r="A46" s="126" t="s">
        <v>265</v>
      </c>
      <c r="B46" s="121">
        <f>SUM(B47:B65)</f>
        <v>52513.69</v>
      </c>
      <c r="C46" s="9"/>
      <c r="D46" s="10"/>
    </row>
    <row r="47" spans="1:7" ht="15.75" x14ac:dyDescent="0.25">
      <c r="A47" s="127" t="s">
        <v>324</v>
      </c>
      <c r="B47" s="11">
        <v>1890</v>
      </c>
      <c r="C47" s="9"/>
      <c r="D47" s="10"/>
      <c r="E47" s="3" t="s">
        <v>267</v>
      </c>
      <c r="F47" s="3"/>
      <c r="G47" s="3"/>
    </row>
    <row r="48" spans="1:7" ht="15.75" x14ac:dyDescent="0.25">
      <c r="A48" s="127" t="s">
        <v>315</v>
      </c>
      <c r="B48" s="11">
        <v>2295</v>
      </c>
      <c r="C48" s="9"/>
      <c r="D48" s="10"/>
      <c r="E48" s="3" t="s">
        <v>269</v>
      </c>
      <c r="F48" s="3"/>
      <c r="G48" s="3"/>
    </row>
    <row r="49" spans="1:5" ht="15.75" x14ac:dyDescent="0.25">
      <c r="A49" s="95" t="s">
        <v>270</v>
      </c>
      <c r="B49" s="11">
        <v>0</v>
      </c>
      <c r="C49" s="9"/>
      <c r="D49" s="10"/>
      <c r="E49" s="3"/>
    </row>
    <row r="50" spans="1:5" ht="15.75" hidden="1" x14ac:dyDescent="0.25">
      <c r="A50" s="131" t="s">
        <v>405</v>
      </c>
      <c r="B50" s="8"/>
      <c r="C50" s="122"/>
      <c r="D50" s="10"/>
      <c r="E50" s="3"/>
    </row>
    <row r="51" spans="1:5" ht="15.75" hidden="1" x14ac:dyDescent="0.25">
      <c r="A51" s="95" t="s">
        <v>281</v>
      </c>
      <c r="B51" s="11"/>
      <c r="C51" s="9"/>
      <c r="D51" s="10"/>
      <c r="E51" s="3"/>
    </row>
    <row r="52" spans="1:5" ht="15.75" x14ac:dyDescent="0.25">
      <c r="A52" s="95" t="s">
        <v>273</v>
      </c>
      <c r="B52" s="11">
        <f>B21*'[4]32тарифы'!D177</f>
        <v>0</v>
      </c>
      <c r="C52" s="9"/>
      <c r="D52" s="10">
        <v>105.14</v>
      </c>
      <c r="E52" s="3"/>
    </row>
    <row r="53" spans="1:5" ht="15.75" x14ac:dyDescent="0.25">
      <c r="A53" s="131" t="s">
        <v>274</v>
      </c>
      <c r="B53" s="8">
        <v>7640</v>
      </c>
      <c r="C53" s="122">
        <v>0</v>
      </c>
      <c r="D53" s="10">
        <v>522.99</v>
      </c>
      <c r="E53" s="3"/>
    </row>
    <row r="54" spans="1:5" ht="15.75" hidden="1" x14ac:dyDescent="0.25">
      <c r="A54" s="111" t="s">
        <v>340</v>
      </c>
      <c r="B54" s="8"/>
      <c r="C54" s="122">
        <v>0</v>
      </c>
      <c r="D54" s="28">
        <v>695.13</v>
      </c>
      <c r="E54" s="3"/>
    </row>
    <row r="55" spans="1:5" ht="15.75" x14ac:dyDescent="0.25">
      <c r="A55" s="95" t="s">
        <v>276</v>
      </c>
      <c r="B55" s="11">
        <v>0</v>
      </c>
      <c r="C55" s="9"/>
      <c r="D55" s="28"/>
      <c r="E55" s="3"/>
    </row>
    <row r="56" spans="1:5" ht="15.75" x14ac:dyDescent="0.25">
      <c r="A56" s="95" t="s">
        <v>277</v>
      </c>
      <c r="B56" s="11">
        <v>0</v>
      </c>
      <c r="C56" s="9">
        <v>0</v>
      </c>
      <c r="D56" s="10">
        <f>10695.76/1.18</f>
        <v>9064.203389830509</v>
      </c>
      <c r="E56" s="3"/>
    </row>
    <row r="57" spans="1:5" ht="15.75" x14ac:dyDescent="0.25">
      <c r="A57" s="95" t="s">
        <v>312</v>
      </c>
      <c r="B57" s="11">
        <v>0</v>
      </c>
      <c r="C57" s="9">
        <v>0</v>
      </c>
      <c r="D57" s="10">
        <f>2300/1.18</f>
        <v>1949.1525423728815</v>
      </c>
      <c r="E57" s="3"/>
    </row>
    <row r="58" spans="1:5" ht="15.75" x14ac:dyDescent="0.25">
      <c r="A58" s="131" t="s">
        <v>313</v>
      </c>
      <c r="B58" s="8">
        <v>0</v>
      </c>
      <c r="C58" s="122">
        <v>0</v>
      </c>
      <c r="D58" s="10">
        <v>0</v>
      </c>
      <c r="E58" s="3"/>
    </row>
    <row r="59" spans="1:5" ht="18" customHeight="1" x14ac:dyDescent="0.25">
      <c r="A59" s="131" t="s">
        <v>281</v>
      </c>
      <c r="B59" s="8">
        <v>139.84</v>
      </c>
      <c r="C59" s="122"/>
      <c r="D59" s="10"/>
      <c r="E59" s="130">
        <f>B80+B46-B59+771.09</f>
        <v>62383.23</v>
      </c>
    </row>
    <row r="60" spans="1:5" ht="17.25" customHeight="1" x14ac:dyDescent="0.25">
      <c r="A60" s="110" t="s">
        <v>519</v>
      </c>
      <c r="B60" s="8">
        <v>15912</v>
      </c>
      <c r="C60" s="122"/>
      <c r="D60" s="10"/>
      <c r="E60" s="3"/>
    </row>
    <row r="61" spans="1:5" ht="15.75" x14ac:dyDescent="0.25">
      <c r="A61" s="110" t="s">
        <v>373</v>
      </c>
      <c r="B61" s="8">
        <v>8133.62</v>
      </c>
      <c r="C61" s="122"/>
      <c r="D61" s="10">
        <v>0</v>
      </c>
      <c r="E61" s="3"/>
    </row>
    <row r="62" spans="1:5" ht="15.75" x14ac:dyDescent="0.25">
      <c r="A62" s="127" t="s">
        <v>520</v>
      </c>
      <c r="B62" s="11">
        <v>4200</v>
      </c>
      <c r="C62" s="9"/>
      <c r="D62" s="10">
        <v>0</v>
      </c>
      <c r="E62" s="3"/>
    </row>
    <row r="63" spans="1:5" ht="15.75" x14ac:dyDescent="0.25">
      <c r="A63" s="127" t="s">
        <v>397</v>
      </c>
      <c r="B63" s="132">
        <v>12303.23</v>
      </c>
      <c r="C63" s="30">
        <v>1</v>
      </c>
      <c r="D63" s="10">
        <v>0</v>
      </c>
      <c r="E63" s="3"/>
    </row>
    <row r="64" spans="1:5" ht="15.75" x14ac:dyDescent="0.25">
      <c r="A64" s="19" t="s">
        <v>283</v>
      </c>
      <c r="B64" s="132">
        <v>0</v>
      </c>
      <c r="C64" s="30">
        <v>37</v>
      </c>
      <c r="D64" s="10">
        <v>2</v>
      </c>
      <c r="E64" s="3">
        <v>1</v>
      </c>
    </row>
    <row r="65" spans="1:4" ht="15.75" x14ac:dyDescent="0.25">
      <c r="A65" s="19" t="s">
        <v>284</v>
      </c>
      <c r="B65" s="132">
        <v>0</v>
      </c>
      <c r="C65" s="32"/>
      <c r="D65" s="24">
        <v>0</v>
      </c>
    </row>
    <row r="66" spans="1:4" s="4" customFormat="1" ht="15.75" x14ac:dyDescent="0.25">
      <c r="A66" s="133" t="s">
        <v>285</v>
      </c>
      <c r="B66" s="121">
        <f>SUM(B67:B74)</f>
        <v>143059.67315408521</v>
      </c>
      <c r="C66" s="23"/>
      <c r="D66" s="24"/>
    </row>
    <row r="67" spans="1:4" ht="15.75" x14ac:dyDescent="0.25">
      <c r="A67" s="110" t="s">
        <v>286</v>
      </c>
      <c r="B67" s="8">
        <v>0</v>
      </c>
      <c r="C67" s="134"/>
      <c r="D67" s="24"/>
    </row>
    <row r="68" spans="1:4" ht="15.75" x14ac:dyDescent="0.25">
      <c r="A68" s="127" t="s">
        <v>287</v>
      </c>
      <c r="B68" s="135">
        <f>1.04*52450.38*1.12*1.0952</f>
        <v>66910.370713804805</v>
      </c>
      <c r="C68" s="23"/>
      <c r="D68" s="24"/>
    </row>
    <row r="69" spans="1:4" ht="15.75" x14ac:dyDescent="0.25">
      <c r="A69" s="110" t="s">
        <v>288</v>
      </c>
      <c r="B69" s="8">
        <v>0</v>
      </c>
      <c r="C69" s="134"/>
      <c r="D69" s="24"/>
    </row>
    <row r="70" spans="1:4" ht="15.75" x14ac:dyDescent="0.25">
      <c r="A70" s="129" t="s">
        <v>289</v>
      </c>
      <c r="B70" s="11">
        <f>1.35*B15</f>
        <v>2191.4549999999999</v>
      </c>
      <c r="C70" s="23"/>
      <c r="D70" s="24"/>
    </row>
    <row r="71" spans="1:4" ht="15.75" x14ac:dyDescent="0.25">
      <c r="A71" s="129" t="s">
        <v>290</v>
      </c>
      <c r="B71" s="11">
        <f>5.06*B15</f>
        <v>8213.8979999999992</v>
      </c>
      <c r="C71" s="23"/>
      <c r="D71" s="24"/>
    </row>
    <row r="72" spans="1:4" ht="15.75" x14ac:dyDescent="0.25">
      <c r="A72" s="129" t="s">
        <v>291</v>
      </c>
      <c r="B72" s="11">
        <f>17.68*B15</f>
        <v>28699.944</v>
      </c>
      <c r="C72" s="23"/>
      <c r="D72" s="24"/>
    </row>
    <row r="73" spans="1:4" ht="15.75" x14ac:dyDescent="0.25">
      <c r="A73" s="129" t="s">
        <v>292</v>
      </c>
      <c r="B73" s="11">
        <f>1.04*2813.24068476534*1.12*1.0952</f>
        <v>3588.8200833779852</v>
      </c>
      <c r="C73" s="23"/>
      <c r="D73" s="24"/>
    </row>
    <row r="74" spans="1:4" ht="15.75" x14ac:dyDescent="0.25">
      <c r="A74" s="129" t="s">
        <v>293</v>
      </c>
      <c r="B74" s="11">
        <f>B68/2</f>
        <v>33455.185356902402</v>
      </c>
      <c r="C74" s="23"/>
      <c r="D74" s="24"/>
    </row>
    <row r="75" spans="1:4" ht="63" x14ac:dyDescent="0.25">
      <c r="A75" s="136" t="s">
        <v>294</v>
      </c>
      <c r="B75" s="121">
        <f>SUM(B76:B76)</f>
        <v>55371.033984000002</v>
      </c>
      <c r="C75" s="23"/>
      <c r="D75" s="24"/>
    </row>
    <row r="76" spans="1:4" ht="15.75" x14ac:dyDescent="0.25">
      <c r="A76" s="129" t="s">
        <v>295</v>
      </c>
      <c r="B76" s="11">
        <f>45141*1.12*1.0952</f>
        <v>55371.033984000002</v>
      </c>
      <c r="C76" s="23"/>
      <c r="D76" s="24"/>
    </row>
    <row r="77" spans="1:4" s="4" customFormat="1" ht="15.75" x14ac:dyDescent="0.25">
      <c r="A77" s="133" t="s">
        <v>296</v>
      </c>
      <c r="B77" s="121">
        <f>SUM(B78:B81)</f>
        <v>62877.662976597203</v>
      </c>
      <c r="C77" s="23"/>
      <c r="D77" s="24"/>
    </row>
    <row r="78" spans="1:4" ht="15.75" x14ac:dyDescent="0.25">
      <c r="A78" s="137" t="s">
        <v>297</v>
      </c>
      <c r="B78" s="11">
        <f>'[4]32тарифы'!D170*B15*1.12*1.0952</f>
        <v>42906.198131960249</v>
      </c>
      <c r="C78" s="23"/>
      <c r="D78" s="24"/>
    </row>
    <row r="79" spans="1:4" ht="15.75" x14ac:dyDescent="0.25">
      <c r="A79" s="137" t="s">
        <v>298</v>
      </c>
      <c r="B79" s="135">
        <f>(B26/1.2)*30%</f>
        <v>7434.8725000000004</v>
      </c>
      <c r="C79" s="23"/>
      <c r="D79" s="24"/>
    </row>
    <row r="80" spans="1:4" ht="15.75" x14ac:dyDescent="0.25">
      <c r="A80" s="138" t="s">
        <v>299</v>
      </c>
      <c r="B80" s="11">
        <f>4790.6+4447.69</f>
        <v>9238.2900000000009</v>
      </c>
      <c r="C80" s="23"/>
      <c r="D80" s="24"/>
    </row>
    <row r="81" spans="1:4" ht="15.75" x14ac:dyDescent="0.25">
      <c r="A81" s="138" t="s">
        <v>300</v>
      </c>
      <c r="B81" s="11">
        <f>'[4]32тарифы'!D173*B13*1.12*1.01</f>
        <v>3298.3023446369516</v>
      </c>
      <c r="C81" s="23"/>
      <c r="D81" s="24"/>
    </row>
    <row r="82" spans="1:4" ht="15.75" x14ac:dyDescent="0.25">
      <c r="A82" s="233" t="s">
        <v>301</v>
      </c>
      <c r="B82" s="14">
        <f>B32+B42+B46+B66+B75+B77</f>
        <v>385463.92975647608</v>
      </c>
      <c r="C82" s="23"/>
      <c r="D82" s="24"/>
    </row>
    <row r="83" spans="1:4" ht="15.75" x14ac:dyDescent="0.25">
      <c r="A83" s="139" t="s">
        <v>302</v>
      </c>
      <c r="B83" s="11">
        <f>B82*0.03</f>
        <v>11563.917892694282</v>
      </c>
      <c r="C83" s="23"/>
      <c r="D83" s="24"/>
    </row>
    <row r="84" spans="1:4" s="18" customFormat="1" ht="15.75" x14ac:dyDescent="0.25">
      <c r="A84" s="140" t="s">
        <v>303</v>
      </c>
      <c r="B84" s="121">
        <f>B82+B83</f>
        <v>397027.84764917038</v>
      </c>
      <c r="C84" s="23"/>
      <c r="D84" s="24"/>
    </row>
    <row r="85" spans="1:4" ht="16.5" thickBot="1" x14ac:dyDescent="0.3">
      <c r="A85" s="141" t="s">
        <v>304</v>
      </c>
      <c r="B85" s="142">
        <f>B84*0.2</f>
        <v>79405.569529834087</v>
      </c>
      <c r="C85" s="23"/>
      <c r="D85" s="24"/>
    </row>
    <row r="86" spans="1:4" s="4" customFormat="1" ht="16.5" thickBot="1" x14ac:dyDescent="0.3">
      <c r="A86" s="38" t="s">
        <v>305</v>
      </c>
      <c r="B86" s="46">
        <f>B84+B85</f>
        <v>476433.41717900446</v>
      </c>
      <c r="C86" s="40"/>
      <c r="D86" s="41"/>
    </row>
    <row r="87" spans="1:4" s="4" customFormat="1" ht="16.5" thickBot="1" x14ac:dyDescent="0.3">
      <c r="A87" s="42" t="s">
        <v>306</v>
      </c>
      <c r="B87" s="46">
        <f>B10+B24+B26+B28+B29-B86</f>
        <v>-727859.07717900444</v>
      </c>
      <c r="C87" s="43"/>
      <c r="D87" s="43"/>
    </row>
    <row r="88" spans="1:4" s="4" customFormat="1" ht="16.5" hidden="1" thickBot="1" x14ac:dyDescent="0.3">
      <c r="A88" s="44" t="s">
        <v>307</v>
      </c>
      <c r="B88" s="46"/>
      <c r="C88" s="43"/>
      <c r="D88" s="43"/>
    </row>
    <row r="89" spans="1:4" s="4" customFormat="1" ht="16.5" hidden="1" thickBot="1" x14ac:dyDescent="0.3">
      <c r="A89" s="143" t="s">
        <v>308</v>
      </c>
      <c r="B89" s="46"/>
      <c r="C89" s="43"/>
      <c r="D89" s="43"/>
    </row>
    <row r="90" spans="1:4" ht="15.75" x14ac:dyDescent="0.25">
      <c r="A90" s="3"/>
      <c r="B90" s="130"/>
      <c r="C90" s="3"/>
      <c r="D90" s="3"/>
    </row>
    <row r="91" spans="1:4" ht="15.75" x14ac:dyDescent="0.25">
      <c r="A91" s="49"/>
      <c r="B91" s="3"/>
      <c r="C91" s="3"/>
      <c r="D91" s="3"/>
    </row>
    <row r="92" spans="1:4" ht="15.75" x14ac:dyDescent="0.25">
      <c r="A92" s="286" t="s">
        <v>542</v>
      </c>
      <c r="B92" s="286"/>
      <c r="C92" s="3"/>
      <c r="D92" s="3"/>
    </row>
    <row r="93" spans="1:4" ht="15.75" x14ac:dyDescent="0.25">
      <c r="A93" s="49"/>
      <c r="B93" s="3"/>
      <c r="C93" s="3"/>
      <c r="D93" s="3"/>
    </row>
    <row r="94" spans="1:4" ht="15.75" hidden="1" x14ac:dyDescent="0.25">
      <c r="A94" s="292" t="s">
        <v>399</v>
      </c>
      <c r="B94" s="292"/>
      <c r="C94" s="51"/>
      <c r="D94" s="3"/>
    </row>
    <row r="95" spans="1:4" ht="15.75" x14ac:dyDescent="0.25">
      <c r="A95" s="3"/>
      <c r="B95" s="3"/>
      <c r="C95" s="3"/>
      <c r="D95" s="3"/>
    </row>
  </sheetData>
  <autoFilter ref="A31:G89" xr:uid="{00000000-0009-0000-0000-000046000000}">
    <filterColumn colId="1">
      <customFilters>
        <customFilter operator="notEqual" val=" "/>
      </custom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68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filterMode="1">
    <pageSetUpPr fitToPage="1"/>
  </sheetPr>
  <dimension ref="A1:G95"/>
  <sheetViews>
    <sheetView view="pageBreakPreview" topLeftCell="A57" zoomScale="85" zoomScaleNormal="100" zoomScaleSheetLayoutView="85" workbookViewId="0">
      <selection activeCell="A24" sqref="A24:B24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163</v>
      </c>
      <c r="B5" s="184"/>
      <c r="C5" s="3"/>
      <c r="D5" s="3"/>
    </row>
    <row r="6" spans="1:4" ht="5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3.5" thickBot="1" x14ac:dyDescent="0.25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34">
        <f>VLOOKUP(A5,мкд!S:T,2,FALSE)</f>
        <v>-357083.18107639678</v>
      </c>
      <c r="C10" s="226"/>
      <c r="D10" s="226"/>
    </row>
    <row r="11" spans="1:4" s="227" customFormat="1" ht="16.5" hidden="1" thickBot="1" x14ac:dyDescent="0.3">
      <c r="A11" s="228" t="s">
        <v>232</v>
      </c>
      <c r="B11" s="235"/>
      <c r="C11" s="230"/>
      <c r="D11" s="230"/>
    </row>
    <row r="12" spans="1:4" ht="15.75" x14ac:dyDescent="0.25">
      <c r="A12" s="231" t="s">
        <v>233</v>
      </c>
      <c r="B12" s="210"/>
      <c r="C12" s="5" t="s">
        <v>234</v>
      </c>
      <c r="D12" s="6" t="s">
        <v>234</v>
      </c>
    </row>
    <row r="13" spans="1:4" ht="15.75" hidden="1" x14ac:dyDescent="0.25">
      <c r="A13" s="107" t="s">
        <v>235</v>
      </c>
      <c r="B13" s="8">
        <v>2587</v>
      </c>
      <c r="C13" s="9" t="s">
        <v>234</v>
      </c>
      <c r="D13" s="10" t="s">
        <v>234</v>
      </c>
    </row>
    <row r="14" spans="1:4" ht="15.75" hidden="1" x14ac:dyDescent="0.25">
      <c r="A14" s="107" t="s">
        <v>236</v>
      </c>
      <c r="B14" s="8">
        <v>656.8</v>
      </c>
      <c r="C14" s="9"/>
      <c r="D14" s="10"/>
    </row>
    <row r="15" spans="1:4" ht="15.75" hidden="1" x14ac:dyDescent="0.25">
      <c r="A15" s="123" t="s">
        <v>237</v>
      </c>
      <c r="B15" s="11">
        <f>B13+B14</f>
        <v>3243.8</v>
      </c>
      <c r="C15" s="9"/>
      <c r="D15" s="10"/>
    </row>
    <row r="16" spans="1:4" ht="15.75" hidden="1" x14ac:dyDescent="0.25">
      <c r="A16" s="123" t="s">
        <v>238</v>
      </c>
      <c r="B16" s="11">
        <f>1305.2+1240/3</f>
        <v>1718.5333333333333</v>
      </c>
      <c r="C16" s="9" t="s">
        <v>234</v>
      </c>
      <c r="D16" s="10" t="s">
        <v>234</v>
      </c>
    </row>
    <row r="17" spans="1:7" ht="15.75" hidden="1" x14ac:dyDescent="0.25">
      <c r="A17" s="107" t="s">
        <v>239</v>
      </c>
      <c r="B17" s="8">
        <v>0</v>
      </c>
      <c r="C17" s="9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107" t="s">
        <v>240</v>
      </c>
      <c r="B18" s="8">
        <v>883</v>
      </c>
      <c r="C18" s="9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107" t="s">
        <v>241</v>
      </c>
      <c r="B19" s="8">
        <v>0</v>
      </c>
      <c r="C19" s="9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107" t="s">
        <v>242</v>
      </c>
      <c r="B20" s="8">
        <v>1143</v>
      </c>
      <c r="C20" s="9"/>
      <c r="D20" s="10"/>
      <c r="E20" s="3"/>
      <c r="F20" s="3"/>
      <c r="G20" s="3"/>
    </row>
    <row r="21" spans="1:7" ht="15.75" hidden="1" x14ac:dyDescent="0.25">
      <c r="A21" s="107" t="s">
        <v>243</v>
      </c>
      <c r="B21" s="8">
        <v>0</v>
      </c>
      <c r="C21" s="9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107" t="s">
        <v>244</v>
      </c>
      <c r="B22" s="8">
        <v>146</v>
      </c>
      <c r="C22" s="9"/>
      <c r="D22" s="10"/>
      <c r="E22" s="3"/>
      <c r="F22" s="3"/>
      <c r="G22" s="3"/>
    </row>
    <row r="23" spans="1:7" ht="15.75" x14ac:dyDescent="0.25">
      <c r="A23" s="123"/>
      <c r="B23" s="11"/>
      <c r="C23" s="9"/>
      <c r="D23" s="10"/>
      <c r="E23" s="3"/>
      <c r="F23" s="3"/>
      <c r="G23" s="3"/>
    </row>
    <row r="24" spans="1:7" ht="15.75" x14ac:dyDescent="0.25">
      <c r="A24" s="259" t="s">
        <v>317</v>
      </c>
      <c r="B24" s="255">
        <f>VLOOKUP(A5,мкд!W:X,2,FALSE)</f>
        <v>522071.76</v>
      </c>
      <c r="C24" s="9"/>
      <c r="D24" s="10"/>
      <c r="E24" s="3">
        <v>16.810000000000002</v>
      </c>
      <c r="F24" s="3"/>
      <c r="G24" s="3"/>
    </row>
    <row r="25" spans="1:7" ht="15.75" x14ac:dyDescent="0.25">
      <c r="A25" s="124" t="s">
        <v>318</v>
      </c>
      <c r="B25" s="14">
        <f>VLOOKUP(A5,мкд!W:Y,3,FALSE)</f>
        <v>527777.96000000008</v>
      </c>
      <c r="C25" s="9"/>
      <c r="D25" s="10"/>
      <c r="E25" s="3"/>
      <c r="F25" s="3"/>
      <c r="G25" s="3"/>
    </row>
    <row r="26" spans="1:7" ht="15.75" x14ac:dyDescent="0.25">
      <c r="A26" s="124" t="s">
        <v>348</v>
      </c>
      <c r="B26" s="14">
        <v>132489.70000000001</v>
      </c>
      <c r="C26" s="9"/>
      <c r="D26" s="10"/>
      <c r="E26" s="3"/>
      <c r="F26" s="3"/>
      <c r="G26" s="3"/>
    </row>
    <row r="27" spans="1:7" ht="15.75" x14ac:dyDescent="0.25">
      <c r="A27" s="124" t="s">
        <v>349</v>
      </c>
      <c r="B27" s="14">
        <v>127058.14</v>
      </c>
      <c r="C27" s="9"/>
      <c r="D27" s="10"/>
      <c r="E27" s="3"/>
      <c r="F27" s="3"/>
      <c r="G27" s="3"/>
    </row>
    <row r="28" spans="1:7" ht="15.75" x14ac:dyDescent="0.25">
      <c r="A28" s="124" t="s">
        <v>391</v>
      </c>
      <c r="B28" s="14">
        <v>7154.31</v>
      </c>
      <c r="C28" s="9"/>
      <c r="D28" s="10"/>
      <c r="E28" s="3"/>
      <c r="F28" s="3"/>
      <c r="G28" s="3"/>
    </row>
    <row r="29" spans="1:7" ht="15.75" hidden="1" x14ac:dyDescent="0.25">
      <c r="A29" s="124" t="s">
        <v>250</v>
      </c>
      <c r="B29" s="11"/>
      <c r="C29" s="9"/>
      <c r="D29" s="10"/>
      <c r="E29" s="3"/>
      <c r="F29" s="3"/>
      <c r="G29" s="3"/>
    </row>
    <row r="30" spans="1:7" ht="15.75" x14ac:dyDescent="0.25">
      <c r="A30" s="125"/>
      <c r="B30" s="11"/>
      <c r="C30" s="9"/>
      <c r="D30" s="10"/>
      <c r="E30" s="3"/>
      <c r="F30" s="3"/>
      <c r="G30" s="3"/>
    </row>
    <row r="31" spans="1:7" ht="15.75" x14ac:dyDescent="0.25">
      <c r="A31" s="232" t="s">
        <v>251</v>
      </c>
      <c r="B31" s="11"/>
      <c r="C31" s="9"/>
      <c r="D31" s="10"/>
      <c r="E31" s="3"/>
      <c r="F31" s="3"/>
      <c r="G31" s="3"/>
    </row>
    <row r="32" spans="1:7" s="18" customFormat="1" ht="31.5" x14ac:dyDescent="0.25">
      <c r="A32" s="126" t="s">
        <v>252</v>
      </c>
      <c r="B32" s="121">
        <f>SUM(B33:B41)</f>
        <v>145245.35</v>
      </c>
      <c r="C32" s="9"/>
      <c r="D32" s="10"/>
      <c r="E32" s="17">
        <f>(B86-B24-B26)/1.2/1.03</f>
        <v>210860.55885731336</v>
      </c>
      <c r="F32" s="17" t="e">
        <f>(#REF!-#REF!-#REF!)/1.2/1.03</f>
        <v>#REF!</v>
      </c>
      <c r="G32" s="17" t="e">
        <f>(#REF!-#REF!-#REF!)/1.2/1.03</f>
        <v>#REF!</v>
      </c>
    </row>
    <row r="33" spans="1:7" ht="15.75" x14ac:dyDescent="0.25">
      <c r="A33" s="127" t="s">
        <v>253</v>
      </c>
      <c r="B33" s="11">
        <v>60985.7</v>
      </c>
      <c r="C33" s="9"/>
      <c r="D33" s="10">
        <v>34604.559999999998</v>
      </c>
      <c r="E33" s="3"/>
      <c r="F33" s="3"/>
      <c r="G33" s="3"/>
    </row>
    <row r="34" spans="1:7" ht="15.75" hidden="1" x14ac:dyDescent="0.25">
      <c r="A34" s="128" t="s">
        <v>320</v>
      </c>
      <c r="B34" s="8"/>
      <c r="C34" s="9"/>
      <c r="D34" s="10">
        <v>0</v>
      </c>
      <c r="E34" s="3"/>
      <c r="F34" s="3"/>
      <c r="G34" s="3"/>
    </row>
    <row r="35" spans="1:7" ht="15.75" hidden="1" x14ac:dyDescent="0.25">
      <c r="A35" s="128" t="s">
        <v>256</v>
      </c>
      <c r="B35" s="8"/>
      <c r="C35" s="9"/>
      <c r="D35" s="10">
        <v>0</v>
      </c>
      <c r="E35" s="3"/>
      <c r="F35" s="3"/>
      <c r="G35" s="3"/>
    </row>
    <row r="36" spans="1:7" ht="15.75" x14ac:dyDescent="0.25">
      <c r="A36" s="127" t="s">
        <v>255</v>
      </c>
      <c r="B36" s="11">
        <v>69192.960000000006</v>
      </c>
      <c r="C36" s="9" t="s">
        <v>234</v>
      </c>
      <c r="D36" s="10">
        <v>0</v>
      </c>
      <c r="E36" s="3"/>
      <c r="F36" s="3"/>
      <c r="G36" s="3"/>
    </row>
    <row r="37" spans="1:7" ht="15.75" hidden="1" x14ac:dyDescent="0.25">
      <c r="A37" s="127" t="s">
        <v>257</v>
      </c>
      <c r="B37" s="11">
        <v>0</v>
      </c>
      <c r="C37" s="9"/>
      <c r="D37" s="10">
        <v>0</v>
      </c>
      <c r="E37" s="3"/>
      <c r="F37" s="3"/>
      <c r="G37" s="3"/>
    </row>
    <row r="38" spans="1:7" ht="15.75" hidden="1" x14ac:dyDescent="0.25">
      <c r="A38" s="127" t="s">
        <v>258</v>
      </c>
      <c r="B38" s="11">
        <v>0</v>
      </c>
      <c r="C38" s="9"/>
      <c r="D38" s="10">
        <v>0</v>
      </c>
      <c r="E38" s="3"/>
      <c r="F38" s="3"/>
      <c r="G38" s="3"/>
    </row>
    <row r="39" spans="1:7" ht="15.75" hidden="1" x14ac:dyDescent="0.25">
      <c r="A39" s="110" t="s">
        <v>259</v>
      </c>
      <c r="B39" s="8">
        <v>0</v>
      </c>
      <c r="C39" s="9"/>
      <c r="D39" s="10">
        <v>0</v>
      </c>
      <c r="E39" s="3"/>
      <c r="F39" s="3"/>
      <c r="G39" s="3"/>
    </row>
    <row r="40" spans="1:7" ht="15.75" hidden="1" x14ac:dyDescent="0.25">
      <c r="A40" s="19" t="s">
        <v>400</v>
      </c>
      <c r="B40" s="11"/>
      <c r="C40" s="9"/>
      <c r="D40" s="10"/>
      <c r="E40" s="3"/>
      <c r="F40" s="3"/>
      <c r="G40" s="3"/>
    </row>
    <row r="41" spans="1:7" ht="15.75" x14ac:dyDescent="0.25">
      <c r="A41" s="19" t="s">
        <v>392</v>
      </c>
      <c r="B41" s="11">
        <v>15066.69</v>
      </c>
      <c r="C41" s="9"/>
      <c r="D41" s="10"/>
      <c r="E41" s="3"/>
      <c r="F41" s="3"/>
      <c r="G41" s="3"/>
    </row>
    <row r="42" spans="1:7" s="18" customFormat="1" ht="47.25" x14ac:dyDescent="0.25">
      <c r="A42" s="126" t="s">
        <v>393</v>
      </c>
      <c r="B42" s="121">
        <f>SUM(B43:B45)</f>
        <v>82354.383364304042</v>
      </c>
      <c r="C42" s="9"/>
      <c r="D42" s="10"/>
      <c r="E42" s="17"/>
      <c r="F42" s="17"/>
      <c r="G42" s="17"/>
    </row>
    <row r="43" spans="1:7" ht="15.75" x14ac:dyDescent="0.25">
      <c r="A43" s="19" t="s">
        <v>262</v>
      </c>
      <c r="B43" s="11">
        <v>18761.37</v>
      </c>
      <c r="C43" s="23"/>
      <c r="D43" s="24"/>
      <c r="E43" s="3"/>
      <c r="F43" s="3"/>
      <c r="G43" s="3"/>
    </row>
    <row r="44" spans="1:7" ht="15.75" x14ac:dyDescent="0.25">
      <c r="A44" s="19" t="s">
        <v>263</v>
      </c>
      <c r="B44" s="11">
        <v>45757.42</v>
      </c>
      <c r="C44" s="23"/>
      <c r="D44" s="24"/>
      <c r="E44" s="3"/>
      <c r="F44" s="3"/>
      <c r="G44" s="3"/>
    </row>
    <row r="45" spans="1:7" ht="15.75" x14ac:dyDescent="0.25">
      <c r="A45" s="129" t="s">
        <v>264</v>
      </c>
      <c r="B45" s="11">
        <f>'[4]32тарифы'!D163*B15+510.12*1.12*1.0952</f>
        <v>17835.593364304044</v>
      </c>
      <c r="C45" s="23"/>
      <c r="D45" s="24"/>
      <c r="E45" s="3"/>
      <c r="F45" s="3"/>
      <c r="G45" s="3"/>
    </row>
    <row r="46" spans="1:7" s="4" customFormat="1" ht="15.75" x14ac:dyDescent="0.25">
      <c r="A46" s="126" t="s">
        <v>265</v>
      </c>
      <c r="B46" s="121">
        <f>SUM(B47:B65)</f>
        <v>46123.17</v>
      </c>
      <c r="C46" s="9"/>
      <c r="D46" s="10"/>
    </row>
    <row r="47" spans="1:7" ht="15.75" x14ac:dyDescent="0.25">
      <c r="A47" s="127" t="s">
        <v>324</v>
      </c>
      <c r="B47" s="11">
        <v>4503.3</v>
      </c>
      <c r="C47" s="9"/>
      <c r="D47" s="10"/>
      <c r="E47" s="3" t="s">
        <v>267</v>
      </c>
      <c r="F47" s="3"/>
      <c r="G47" s="3"/>
    </row>
    <row r="48" spans="1:7" ht="15.75" x14ac:dyDescent="0.25">
      <c r="A48" s="127" t="s">
        <v>315</v>
      </c>
      <c r="B48" s="11">
        <v>3708.6</v>
      </c>
      <c r="C48" s="9"/>
      <c r="D48" s="10"/>
      <c r="E48" s="3" t="s">
        <v>269</v>
      </c>
      <c r="F48" s="3"/>
      <c r="G48" s="3"/>
    </row>
    <row r="49" spans="1:5" ht="15.75" hidden="1" x14ac:dyDescent="0.25">
      <c r="A49" s="95" t="s">
        <v>270</v>
      </c>
      <c r="B49" s="11"/>
      <c r="C49" s="9"/>
      <c r="D49" s="10"/>
      <c r="E49" s="3"/>
    </row>
    <row r="50" spans="1:5" ht="15.75" hidden="1" x14ac:dyDescent="0.25">
      <c r="A50" s="131" t="s">
        <v>360</v>
      </c>
      <c r="B50" s="8"/>
      <c r="C50" s="9"/>
      <c r="D50" s="10"/>
      <c r="E50" s="3"/>
    </row>
    <row r="51" spans="1:5" ht="15.75" x14ac:dyDescent="0.25">
      <c r="A51" s="95" t="s">
        <v>394</v>
      </c>
      <c r="B51" s="11">
        <v>156.82</v>
      </c>
      <c r="C51" s="9"/>
      <c r="D51" s="10"/>
      <c r="E51" s="3"/>
    </row>
    <row r="52" spans="1:5" ht="15.75" hidden="1" x14ac:dyDescent="0.25">
      <c r="A52" s="95" t="s">
        <v>314</v>
      </c>
      <c r="B52" s="11">
        <f>B21*'[4]32тарифы'!D177</f>
        <v>0</v>
      </c>
      <c r="C52" s="9"/>
      <c r="D52" s="10">
        <v>105.14</v>
      </c>
      <c r="E52" s="3"/>
    </row>
    <row r="53" spans="1:5" ht="15.75" x14ac:dyDescent="0.25">
      <c r="A53" s="131" t="s">
        <v>520</v>
      </c>
      <c r="B53" s="8">
        <v>4200</v>
      </c>
      <c r="C53" s="9">
        <v>0</v>
      </c>
      <c r="D53" s="10">
        <v>522.99</v>
      </c>
      <c r="E53" s="3"/>
    </row>
    <row r="54" spans="1:5" ht="15.75" hidden="1" x14ac:dyDescent="0.25">
      <c r="A54" s="111" t="s">
        <v>275</v>
      </c>
      <c r="B54" s="8"/>
      <c r="C54" s="9">
        <v>1</v>
      </c>
      <c r="D54" s="28">
        <v>695.13</v>
      </c>
      <c r="E54" s="3"/>
    </row>
    <row r="55" spans="1:5" ht="15.75" hidden="1" x14ac:dyDescent="0.25">
      <c r="A55" s="95" t="s">
        <v>403</v>
      </c>
      <c r="B55" s="11"/>
      <c r="C55" s="9"/>
      <c r="D55" s="28"/>
      <c r="E55" s="3"/>
    </row>
    <row r="56" spans="1:5" ht="15.75" hidden="1" x14ac:dyDescent="0.25">
      <c r="A56" s="95" t="s">
        <v>277</v>
      </c>
      <c r="B56" s="11"/>
      <c r="C56" s="9">
        <v>0</v>
      </c>
      <c r="D56" s="10">
        <f>10695.76/1.18</f>
        <v>9064.203389830509</v>
      </c>
      <c r="E56" s="3"/>
    </row>
    <row r="57" spans="1:5" ht="15.75" x14ac:dyDescent="0.25">
      <c r="A57" s="95" t="s">
        <v>518</v>
      </c>
      <c r="B57" s="11">
        <v>3982.13</v>
      </c>
      <c r="C57" s="9">
        <v>0</v>
      </c>
      <c r="D57" s="10">
        <f>2300/1.18</f>
        <v>1949.1525423728815</v>
      </c>
      <c r="E57" s="130">
        <f>B80+B46-B59+1124.18</f>
        <v>63125.479999999996</v>
      </c>
    </row>
    <row r="58" spans="1:5" ht="15.75" hidden="1" x14ac:dyDescent="0.25">
      <c r="A58" s="131" t="s">
        <v>404</v>
      </c>
      <c r="B58" s="8"/>
      <c r="C58" s="9">
        <v>0</v>
      </c>
      <c r="D58" s="10">
        <v>0</v>
      </c>
      <c r="E58" s="3"/>
    </row>
    <row r="59" spans="1:5" ht="15.75" hidden="1" x14ac:dyDescent="0.25">
      <c r="A59" s="131" t="s">
        <v>278</v>
      </c>
      <c r="B59" s="8">
        <f>B13*'[4]32тарифы'!D184</f>
        <v>0</v>
      </c>
      <c r="C59" s="9"/>
      <c r="D59" s="10"/>
      <c r="E59" s="3"/>
    </row>
    <row r="60" spans="1:5" ht="15.75" hidden="1" x14ac:dyDescent="0.25">
      <c r="A60" s="110" t="s">
        <v>346</v>
      </c>
      <c r="B60" s="8"/>
      <c r="C60" s="9"/>
      <c r="D60" s="10"/>
      <c r="E60" s="3"/>
    </row>
    <row r="61" spans="1:5" ht="15.75" hidden="1" x14ac:dyDescent="0.25">
      <c r="A61" s="110" t="s">
        <v>344</v>
      </c>
      <c r="B61" s="8"/>
      <c r="C61" s="9"/>
      <c r="D61" s="10">
        <v>57150</v>
      </c>
      <c r="E61" s="3"/>
    </row>
    <row r="62" spans="1:5" ht="15.75" x14ac:dyDescent="0.25">
      <c r="A62" s="127" t="s">
        <v>373</v>
      </c>
      <c r="B62" s="11">
        <v>8133.61</v>
      </c>
      <c r="C62" s="9"/>
      <c r="D62" s="10">
        <v>0</v>
      </c>
      <c r="E62" s="3"/>
    </row>
    <row r="63" spans="1:5" ht="15.75" x14ac:dyDescent="0.25">
      <c r="A63" s="127" t="s">
        <v>397</v>
      </c>
      <c r="B63" s="132">
        <v>21438.71</v>
      </c>
      <c r="C63" s="30">
        <v>1</v>
      </c>
      <c r="D63" s="10">
        <v>0</v>
      </c>
      <c r="E63" s="3"/>
    </row>
    <row r="64" spans="1:5" ht="15.75" hidden="1" x14ac:dyDescent="0.25">
      <c r="A64" s="19" t="s">
        <v>283</v>
      </c>
      <c r="B64" s="132"/>
      <c r="C64" s="30">
        <v>64</v>
      </c>
      <c r="D64" s="10">
        <v>2</v>
      </c>
      <c r="E64" s="3">
        <v>1</v>
      </c>
    </row>
    <row r="65" spans="1:4" ht="15.75" hidden="1" x14ac:dyDescent="0.25">
      <c r="A65" s="19" t="s">
        <v>284</v>
      </c>
      <c r="B65" s="132"/>
      <c r="C65" s="32"/>
      <c r="D65" s="24">
        <v>0</v>
      </c>
    </row>
    <row r="66" spans="1:4" s="4" customFormat="1" ht="15.75" x14ac:dyDescent="0.25">
      <c r="A66" s="133" t="s">
        <v>285</v>
      </c>
      <c r="B66" s="121">
        <f>SUM(B67:B74)</f>
        <v>229267.59031066025</v>
      </c>
      <c r="C66" s="23"/>
      <c r="D66" s="24"/>
    </row>
    <row r="67" spans="1:4" ht="15.75" hidden="1" x14ac:dyDescent="0.25">
      <c r="A67" s="110" t="s">
        <v>286</v>
      </c>
      <c r="B67" s="8"/>
      <c r="C67" s="23"/>
      <c r="D67" s="24"/>
    </row>
    <row r="68" spans="1:4" ht="15.75" x14ac:dyDescent="0.25">
      <c r="A68" s="127" t="s">
        <v>287</v>
      </c>
      <c r="B68" s="135">
        <f>76149.96*1.0952</f>
        <v>83399.436192000008</v>
      </c>
      <c r="C68" s="23"/>
      <c r="D68" s="24"/>
    </row>
    <row r="69" spans="1:4" ht="15.75" hidden="1" x14ac:dyDescent="0.25">
      <c r="A69" s="110" t="s">
        <v>288</v>
      </c>
      <c r="B69" s="8"/>
      <c r="C69" s="23"/>
      <c r="D69" s="24"/>
    </row>
    <row r="70" spans="1:4" ht="15.75" x14ac:dyDescent="0.25">
      <c r="A70" s="129" t="s">
        <v>289</v>
      </c>
      <c r="B70" s="11">
        <f>1.35*B15</f>
        <v>4379.13</v>
      </c>
      <c r="C70" s="23"/>
      <c r="D70" s="24"/>
    </row>
    <row r="71" spans="1:4" ht="15.75" x14ac:dyDescent="0.25">
      <c r="A71" s="129" t="s">
        <v>290</v>
      </c>
      <c r="B71" s="11">
        <f>5.06*B15</f>
        <v>16413.628000000001</v>
      </c>
      <c r="C71" s="23"/>
      <c r="D71" s="24"/>
    </row>
    <row r="72" spans="1:4" ht="15.75" x14ac:dyDescent="0.25">
      <c r="A72" s="129" t="s">
        <v>291</v>
      </c>
      <c r="B72" s="11">
        <f>17.68*B15</f>
        <v>57350.384000000005</v>
      </c>
      <c r="C72" s="23"/>
      <c r="D72" s="24"/>
    </row>
    <row r="73" spans="1:4" ht="15.75" x14ac:dyDescent="0.25">
      <c r="A73" s="129" t="s">
        <v>292</v>
      </c>
      <c r="B73" s="11">
        <f>1.04*5621.62886295929*1.12*1.0952</f>
        <v>7171.4498776945202</v>
      </c>
      <c r="C73" s="23"/>
      <c r="D73" s="24"/>
    </row>
    <row r="74" spans="1:4" ht="15.75" x14ac:dyDescent="0.25">
      <c r="A74" s="129" t="s">
        <v>293</v>
      </c>
      <c r="B74" s="11">
        <f>1.04*47467.3405035705*1.12*1.0952</f>
        <v>60553.562240965737</v>
      </c>
      <c r="C74" s="23"/>
      <c r="D74" s="24"/>
    </row>
    <row r="75" spans="1:4" ht="63" x14ac:dyDescent="0.25">
      <c r="A75" s="136" t="s">
        <v>294</v>
      </c>
      <c r="B75" s="121">
        <f>SUM(B76:B76)</f>
        <v>96438.405503999995</v>
      </c>
      <c r="C75" s="23"/>
      <c r="D75" s="24"/>
    </row>
    <row r="76" spans="1:4" ht="15.75" x14ac:dyDescent="0.25">
      <c r="A76" s="129" t="s">
        <v>295</v>
      </c>
      <c r="B76" s="11">
        <f>78621*1.12*1.0952</f>
        <v>96438.405503999995</v>
      </c>
      <c r="C76" s="23"/>
      <c r="D76" s="24"/>
    </row>
    <row r="77" spans="1:4" s="4" customFormat="1" ht="15.75" x14ac:dyDescent="0.25">
      <c r="A77" s="133" t="s">
        <v>296</v>
      </c>
      <c r="B77" s="121">
        <f>SUM(B78:B81)</f>
        <v>141012.12893401246</v>
      </c>
      <c r="C77" s="23"/>
      <c r="D77" s="24"/>
    </row>
    <row r="78" spans="1:4" ht="15.75" x14ac:dyDescent="0.25">
      <c r="A78" s="137" t="s">
        <v>297</v>
      </c>
      <c r="B78" s="11">
        <f>'[4]32тарифы'!D170*B15*1.12*1.0952</f>
        <v>85738.388160200004</v>
      </c>
      <c r="C78" s="23"/>
      <c r="D78" s="24"/>
    </row>
    <row r="79" spans="1:4" ht="18.75" customHeight="1" x14ac:dyDescent="0.25">
      <c r="A79" s="137" t="s">
        <v>298</v>
      </c>
      <c r="B79" s="135">
        <v>33652</v>
      </c>
      <c r="C79" s="23"/>
      <c r="D79" s="24"/>
    </row>
    <row r="80" spans="1:4" ht="15.75" x14ac:dyDescent="0.25">
      <c r="A80" s="138" t="s">
        <v>299</v>
      </c>
      <c r="B80" s="11">
        <f>8026.4+7851.73</f>
        <v>15878.13</v>
      </c>
      <c r="C80" s="23"/>
      <c r="D80" s="24"/>
    </row>
    <row r="81" spans="1:4" ht="15.75" x14ac:dyDescent="0.25">
      <c r="A81" s="138" t="s">
        <v>300</v>
      </c>
      <c r="B81" s="11">
        <f>'[4]32тарифы'!D173*B13*1.12*1.01</f>
        <v>5743.610773812462</v>
      </c>
      <c r="C81" s="23"/>
      <c r="D81" s="24"/>
    </row>
    <row r="82" spans="1:4" ht="15.75" x14ac:dyDescent="0.25">
      <c r="A82" s="233" t="s">
        <v>301</v>
      </c>
      <c r="B82" s="14">
        <f>B32+B42+B46+B66+B75+B77</f>
        <v>740441.02811297681</v>
      </c>
      <c r="C82" s="23"/>
      <c r="D82" s="24"/>
    </row>
    <row r="83" spans="1:4" ht="15.75" x14ac:dyDescent="0.25">
      <c r="A83" s="139" t="s">
        <v>302</v>
      </c>
      <c r="B83" s="11">
        <f>B82*0.03</f>
        <v>22213.230843389305</v>
      </c>
      <c r="C83" s="23"/>
      <c r="D83" s="24"/>
    </row>
    <row r="84" spans="1:4" s="18" customFormat="1" ht="15.75" x14ac:dyDescent="0.25">
      <c r="A84" s="140" t="s">
        <v>303</v>
      </c>
      <c r="B84" s="121">
        <f>B82+B83</f>
        <v>762654.2589563661</v>
      </c>
      <c r="C84" s="23"/>
      <c r="D84" s="24"/>
    </row>
    <row r="85" spans="1:4" ht="16.5" thickBot="1" x14ac:dyDescent="0.3">
      <c r="A85" s="141" t="s">
        <v>304</v>
      </c>
      <c r="B85" s="142">
        <f>B84*0.2</f>
        <v>152530.85179127322</v>
      </c>
      <c r="C85" s="23"/>
      <c r="D85" s="24"/>
    </row>
    <row r="86" spans="1:4" s="4" customFormat="1" ht="16.5" thickBot="1" x14ac:dyDescent="0.3">
      <c r="A86" s="38" t="s">
        <v>305</v>
      </c>
      <c r="B86" s="46">
        <f>B84+B85</f>
        <v>915185.11074763932</v>
      </c>
      <c r="C86" s="40"/>
      <c r="D86" s="41"/>
    </row>
    <row r="87" spans="1:4" s="4" customFormat="1" ht="16.5" thickBot="1" x14ac:dyDescent="0.3">
      <c r="A87" s="42" t="s">
        <v>306</v>
      </c>
      <c r="B87" s="46">
        <f>B10+B24+B26+B28+B29-B86</f>
        <v>-610552.52182403603</v>
      </c>
      <c r="C87" s="43"/>
      <c r="D87" s="43"/>
    </row>
    <row r="88" spans="1:4" s="4" customFormat="1" ht="16.5" hidden="1" thickBot="1" x14ac:dyDescent="0.3">
      <c r="A88" s="44" t="s">
        <v>307</v>
      </c>
      <c r="B88" s="46"/>
      <c r="C88" s="43"/>
      <c r="D88" s="43"/>
    </row>
    <row r="89" spans="1:4" s="4" customFormat="1" ht="16.5" hidden="1" thickBot="1" x14ac:dyDescent="0.3">
      <c r="A89" s="143" t="s">
        <v>308</v>
      </c>
      <c r="B89" s="46"/>
      <c r="C89" s="43"/>
      <c r="D89" s="43"/>
    </row>
    <row r="90" spans="1:4" ht="15.75" x14ac:dyDescent="0.25">
      <c r="A90" s="3"/>
      <c r="B90" s="130"/>
      <c r="C90" s="3"/>
      <c r="D90" s="3"/>
    </row>
    <row r="91" spans="1:4" ht="15.75" x14ac:dyDescent="0.25">
      <c r="A91" s="49"/>
      <c r="B91" s="3"/>
      <c r="C91" s="3"/>
      <c r="D91" s="3"/>
    </row>
    <row r="92" spans="1:4" ht="15.75" x14ac:dyDescent="0.25">
      <c r="A92" s="286" t="s">
        <v>542</v>
      </c>
      <c r="B92" s="286"/>
      <c r="C92" s="3"/>
      <c r="D92" s="3"/>
    </row>
    <row r="93" spans="1:4" ht="15.75" x14ac:dyDescent="0.25">
      <c r="A93" s="49"/>
      <c r="B93" s="3"/>
      <c r="C93" s="3"/>
      <c r="D93" s="3"/>
    </row>
    <row r="94" spans="1:4" ht="15.75" hidden="1" x14ac:dyDescent="0.25">
      <c r="A94" s="292" t="s">
        <v>399</v>
      </c>
      <c r="B94" s="292"/>
      <c r="C94" s="51"/>
      <c r="D94" s="3"/>
    </row>
    <row r="95" spans="1:4" ht="15.75" x14ac:dyDescent="0.25">
      <c r="A95" s="3"/>
      <c r="B95" s="3"/>
      <c r="C95" s="3"/>
      <c r="D95" s="3"/>
    </row>
  </sheetData>
  <autoFilter ref="A32:G89" xr:uid="{00000000-0009-0000-0000-000047000000}">
    <filterColumn colId="1">
      <filters>
        <filter val="141 012,13"/>
        <filter val="15 066,69"/>
        <filter val="15 878,13"/>
        <filter val="152 530,85"/>
        <filter val="156,82"/>
        <filter val="16 413,63"/>
        <filter val="17 835,59"/>
        <filter val="18 761,37"/>
        <filter val="21 438,71"/>
        <filter val="22 213,23"/>
        <filter val="229 267,59"/>
        <filter val="3 708,60"/>
        <filter val="3 982,13"/>
        <filter val="33 652,00"/>
        <filter val="4 200,00"/>
        <filter val="4 379,13"/>
        <filter val="4 503,30"/>
        <filter val="45 757,42"/>
        <filter val="46 123,17"/>
        <filter val="5 743,61"/>
        <filter val="57 350,38"/>
        <filter val="60 553,56"/>
        <filter val="60 985,70"/>
        <filter val="-610 552,52"/>
        <filter val="69 192,96"/>
        <filter val="7 171,45"/>
        <filter val="740 441,03"/>
        <filter val="762 654,26"/>
        <filter val="8 133,61"/>
        <filter val="82 354,38"/>
        <filter val="83 399,44"/>
        <filter val="85 738,39"/>
        <filter val="915 185,11"/>
        <filter val="96 438,41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1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filterMode="1">
    <pageSetUpPr fitToPage="1"/>
  </sheetPr>
  <dimension ref="A1:G95"/>
  <sheetViews>
    <sheetView view="pageBreakPreview" topLeftCell="A66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164</v>
      </c>
      <c r="B5" s="184"/>
      <c r="C5" s="3"/>
      <c r="D5" s="3"/>
    </row>
    <row r="6" spans="1:4" ht="14.2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3.5" thickBot="1" x14ac:dyDescent="0.25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34">
        <f>VLOOKUP(A5,мкд!S:T,2,FALSE)</f>
        <v>-1227713.31</v>
      </c>
      <c r="C10" s="226"/>
      <c r="D10" s="226"/>
    </row>
    <row r="11" spans="1:4" s="227" customFormat="1" ht="16.5" hidden="1" thickBot="1" x14ac:dyDescent="0.3">
      <c r="A11" s="228" t="s">
        <v>232</v>
      </c>
      <c r="B11" s="235"/>
      <c r="C11" s="230"/>
      <c r="D11" s="230"/>
    </row>
    <row r="12" spans="1:4" ht="15.75" x14ac:dyDescent="0.25">
      <c r="A12" s="231" t="s">
        <v>233</v>
      </c>
      <c r="B12" s="210"/>
      <c r="C12" s="5" t="s">
        <v>234</v>
      </c>
      <c r="D12" s="6" t="s">
        <v>234</v>
      </c>
    </row>
    <row r="13" spans="1:4" ht="15.75" hidden="1" x14ac:dyDescent="0.25">
      <c r="A13" s="107" t="s">
        <v>235</v>
      </c>
      <c r="B13" s="8">
        <v>3563.5</v>
      </c>
      <c r="C13" s="9" t="s">
        <v>234</v>
      </c>
      <c r="D13" s="10" t="s">
        <v>234</v>
      </c>
    </row>
    <row r="14" spans="1:4" ht="15.75" hidden="1" x14ac:dyDescent="0.25">
      <c r="A14" s="107" t="s">
        <v>236</v>
      </c>
      <c r="B14" s="8">
        <v>0</v>
      </c>
      <c r="C14" s="9"/>
      <c r="D14" s="10"/>
    </row>
    <row r="15" spans="1:4" ht="15.75" hidden="1" x14ac:dyDescent="0.25">
      <c r="A15" s="123" t="s">
        <v>237</v>
      </c>
      <c r="B15" s="11">
        <f>B13+B14</f>
        <v>3563.5</v>
      </c>
      <c r="C15" s="9"/>
      <c r="D15" s="10"/>
    </row>
    <row r="16" spans="1:4" ht="15.75" hidden="1" x14ac:dyDescent="0.25">
      <c r="A16" s="123" t="s">
        <v>238</v>
      </c>
      <c r="B16" s="11">
        <f>1372.1+3905.5/3</f>
        <v>2673.9333333333334</v>
      </c>
      <c r="C16" s="9" t="s">
        <v>234</v>
      </c>
      <c r="D16" s="10" t="s">
        <v>234</v>
      </c>
    </row>
    <row r="17" spans="1:7" ht="15.75" hidden="1" x14ac:dyDescent="0.25">
      <c r="A17" s="107" t="s">
        <v>239</v>
      </c>
      <c r="B17" s="8">
        <v>0</v>
      </c>
      <c r="C17" s="9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107" t="s">
        <v>240</v>
      </c>
      <c r="B18" s="8">
        <v>860</v>
      </c>
      <c r="C18" s="9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107" t="s">
        <v>241</v>
      </c>
      <c r="B19" s="8">
        <v>864</v>
      </c>
      <c r="C19" s="9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107" t="s">
        <v>242</v>
      </c>
      <c r="B20" s="8">
        <v>1146</v>
      </c>
      <c r="C20" s="9"/>
      <c r="D20" s="10"/>
      <c r="E20" s="3"/>
      <c r="F20" s="3"/>
      <c r="G20" s="3"/>
    </row>
    <row r="21" spans="1:7" ht="15.75" hidden="1" x14ac:dyDescent="0.25">
      <c r="A21" s="107" t="s">
        <v>243</v>
      </c>
      <c r="B21" s="8">
        <v>0</v>
      </c>
      <c r="C21" s="9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107" t="s">
        <v>244</v>
      </c>
      <c r="B22" s="8">
        <v>195</v>
      </c>
      <c r="C22" s="9"/>
      <c r="D22" s="10"/>
      <c r="E22" s="3"/>
      <c r="F22" s="3"/>
      <c r="G22" s="3"/>
    </row>
    <row r="23" spans="1:7" ht="15.75" x14ac:dyDescent="0.25">
      <c r="A23" s="123"/>
      <c r="B23" s="11"/>
      <c r="C23" s="9"/>
      <c r="D23" s="10"/>
      <c r="E23" s="3"/>
      <c r="F23" s="3"/>
      <c r="G23" s="3"/>
    </row>
    <row r="24" spans="1:7" ht="15.75" x14ac:dyDescent="0.25">
      <c r="A24" s="259" t="s">
        <v>317</v>
      </c>
      <c r="B24" s="255">
        <f>VLOOKUP(A5,мкд!W:X,2,FALSE)</f>
        <v>750081.71000000008</v>
      </c>
      <c r="C24" s="9"/>
      <c r="D24" s="10"/>
      <c r="E24" s="3">
        <v>15.48</v>
      </c>
      <c r="F24" s="3">
        <v>17.328312</v>
      </c>
      <c r="G24" s="3"/>
    </row>
    <row r="25" spans="1:7" ht="15.75" x14ac:dyDescent="0.25">
      <c r="A25" s="124" t="s">
        <v>318</v>
      </c>
      <c r="B25" s="14">
        <f>VLOOKUP(A5,мкд!W:Y,3,FALSE)</f>
        <v>743864.78999999992</v>
      </c>
      <c r="C25" s="9"/>
      <c r="D25" s="10"/>
      <c r="E25" s="3"/>
      <c r="F25" s="3"/>
      <c r="G25" s="3"/>
    </row>
    <row r="26" spans="1:7" ht="15.75" hidden="1" x14ac:dyDescent="0.25">
      <c r="A26" s="124" t="s">
        <v>348</v>
      </c>
      <c r="B26" s="14"/>
      <c r="C26" s="9"/>
      <c r="D26" s="10"/>
      <c r="E26" s="3"/>
      <c r="F26" s="3"/>
      <c r="G26" s="3"/>
    </row>
    <row r="27" spans="1:7" ht="15.75" hidden="1" x14ac:dyDescent="0.25">
      <c r="A27" s="124" t="s">
        <v>349</v>
      </c>
      <c r="B27" s="14"/>
      <c r="C27" s="9"/>
      <c r="D27" s="10"/>
      <c r="E27" s="3"/>
      <c r="F27" s="3"/>
      <c r="G27" s="3"/>
    </row>
    <row r="28" spans="1:7" ht="15.75" x14ac:dyDescent="0.25">
      <c r="A28" s="124" t="s">
        <v>391</v>
      </c>
      <c r="B28" s="14">
        <v>7154.31</v>
      </c>
      <c r="C28" s="9"/>
      <c r="D28" s="10"/>
      <c r="E28" s="3"/>
      <c r="F28" s="3"/>
      <c r="G28" s="3"/>
    </row>
    <row r="29" spans="1:7" ht="15.75" hidden="1" x14ac:dyDescent="0.25">
      <c r="A29" s="124" t="s">
        <v>250</v>
      </c>
      <c r="B29" s="11"/>
      <c r="C29" s="9"/>
      <c r="D29" s="10"/>
      <c r="E29" s="3"/>
      <c r="F29" s="3"/>
      <c r="G29" s="3"/>
    </row>
    <row r="30" spans="1:7" ht="15.75" x14ac:dyDescent="0.25">
      <c r="A30" s="125"/>
      <c r="B30" s="11"/>
      <c r="C30" s="9"/>
      <c r="D30" s="10"/>
      <c r="E30" s="3"/>
      <c r="F30" s="3"/>
      <c r="G30" s="3"/>
    </row>
    <row r="31" spans="1:7" ht="15.75" x14ac:dyDescent="0.25">
      <c r="A31" s="232" t="s">
        <v>251</v>
      </c>
      <c r="B31" s="11"/>
      <c r="C31" s="9"/>
      <c r="D31" s="10"/>
      <c r="E31" s="3"/>
      <c r="F31" s="3"/>
      <c r="G31" s="3"/>
    </row>
    <row r="32" spans="1:7" s="18" customFormat="1" ht="31.5" x14ac:dyDescent="0.25">
      <c r="A32" s="126" t="s">
        <v>252</v>
      </c>
      <c r="B32" s="121">
        <f>SUM(B33:B41)</f>
        <v>197056.74</v>
      </c>
      <c r="C32" s="9"/>
      <c r="D32" s="10"/>
      <c r="E32" s="17">
        <f>(B86-B24-B26)/1.2/1.03</f>
        <v>256954.54525839456</v>
      </c>
      <c r="F32" s="17" t="e">
        <f>(#REF!-#REF!-#REF!)/1.2/1.03</f>
        <v>#REF!</v>
      </c>
      <c r="G32" s="17" t="e">
        <f>(#REF!-#REF!-#REF!)/1.2/1.03</f>
        <v>#REF!</v>
      </c>
    </row>
    <row r="33" spans="1:7" ht="15.75" x14ac:dyDescent="0.25">
      <c r="A33" s="127" t="s">
        <v>253</v>
      </c>
      <c r="B33" s="11">
        <v>87731.11</v>
      </c>
      <c r="C33" s="9"/>
      <c r="D33" s="10">
        <v>34662.519999999997</v>
      </c>
      <c r="E33" s="3"/>
      <c r="F33" s="3"/>
      <c r="G33" s="3"/>
    </row>
    <row r="34" spans="1:7" ht="15.75" x14ac:dyDescent="0.25">
      <c r="A34" s="128" t="s">
        <v>392</v>
      </c>
      <c r="B34" s="8">
        <v>20929.32</v>
      </c>
      <c r="C34" s="9"/>
      <c r="D34" s="10">
        <v>0</v>
      </c>
      <c r="E34" s="3"/>
      <c r="F34" s="3"/>
      <c r="G34" s="3"/>
    </row>
    <row r="35" spans="1:7" ht="15.75" x14ac:dyDescent="0.25">
      <c r="A35" s="128" t="s">
        <v>256</v>
      </c>
      <c r="B35" s="8">
        <v>19255.900000000001</v>
      </c>
      <c r="C35" s="9"/>
      <c r="D35" s="10">
        <v>0</v>
      </c>
      <c r="E35" s="3"/>
      <c r="F35" s="3"/>
      <c r="G35" s="3"/>
    </row>
    <row r="36" spans="1:7" ht="15.75" x14ac:dyDescent="0.25">
      <c r="A36" s="127" t="s">
        <v>255</v>
      </c>
      <c r="B36" s="11">
        <v>27225.649999999998</v>
      </c>
      <c r="C36" s="9" t="s">
        <v>234</v>
      </c>
      <c r="D36" s="10">
        <v>0</v>
      </c>
      <c r="E36" s="3"/>
      <c r="F36" s="3"/>
      <c r="G36" s="3"/>
    </row>
    <row r="37" spans="1:7" ht="15.75" hidden="1" x14ac:dyDescent="0.25">
      <c r="A37" s="127" t="s">
        <v>400</v>
      </c>
      <c r="B37" s="11"/>
      <c r="C37" s="9"/>
      <c r="D37" s="10">
        <v>0</v>
      </c>
      <c r="E37" s="3"/>
      <c r="F37" s="3"/>
      <c r="G37" s="3"/>
    </row>
    <row r="38" spans="1:7" ht="15.75" x14ac:dyDescent="0.25">
      <c r="A38" s="127" t="s">
        <v>401</v>
      </c>
      <c r="B38" s="11">
        <v>41914.76</v>
      </c>
      <c r="C38" s="9">
        <v>0</v>
      </c>
      <c r="D38" s="10">
        <v>0</v>
      </c>
      <c r="E38" s="3"/>
      <c r="F38" s="3"/>
      <c r="G38" s="3"/>
    </row>
    <row r="39" spans="1:7" ht="15.75" hidden="1" x14ac:dyDescent="0.25">
      <c r="A39" s="110" t="s">
        <v>259</v>
      </c>
      <c r="B39" s="8"/>
      <c r="C39" s="9"/>
      <c r="D39" s="10">
        <v>0</v>
      </c>
      <c r="E39" s="3"/>
      <c r="F39" s="3"/>
      <c r="G39" s="3"/>
    </row>
    <row r="40" spans="1:7" ht="15.75" hidden="1" x14ac:dyDescent="0.25">
      <c r="A40" s="19" t="s">
        <v>339</v>
      </c>
      <c r="B40" s="11"/>
      <c r="C40" s="9"/>
      <c r="D40" s="10"/>
      <c r="E40" s="3"/>
      <c r="F40" s="3"/>
      <c r="G40" s="3"/>
    </row>
    <row r="41" spans="1:7" ht="15.75" hidden="1" x14ac:dyDescent="0.25">
      <c r="A41" s="19" t="s">
        <v>357</v>
      </c>
      <c r="B41" s="11"/>
      <c r="C41" s="9"/>
      <c r="D41" s="10"/>
      <c r="E41" s="3"/>
      <c r="F41" s="3"/>
      <c r="G41" s="3"/>
    </row>
    <row r="42" spans="1:7" s="18" customFormat="1" ht="47.25" x14ac:dyDescent="0.25">
      <c r="A42" s="126" t="s">
        <v>393</v>
      </c>
      <c r="B42" s="121">
        <f>SUM(B43:B45)</f>
        <v>80182.855145355017</v>
      </c>
      <c r="C42" s="9"/>
      <c r="D42" s="10"/>
      <c r="E42" s="17"/>
      <c r="F42" s="17"/>
      <c r="G42" s="17"/>
    </row>
    <row r="43" spans="1:7" ht="15.75" x14ac:dyDescent="0.25">
      <c r="A43" s="19" t="s">
        <v>262</v>
      </c>
      <c r="B43" s="11">
        <v>50344.3</v>
      </c>
      <c r="C43" s="23"/>
      <c r="D43" s="24"/>
      <c r="E43" s="3"/>
      <c r="F43" s="3"/>
      <c r="G43" s="3"/>
    </row>
    <row r="44" spans="1:7" ht="15.75" x14ac:dyDescent="0.25">
      <c r="A44" s="19" t="s">
        <v>263</v>
      </c>
      <c r="B44" s="11">
        <v>10707.13</v>
      </c>
      <c r="C44" s="23"/>
      <c r="D44" s="24"/>
      <c r="E44" s="3"/>
      <c r="F44" s="3"/>
      <c r="G44" s="3"/>
    </row>
    <row r="45" spans="1:7" ht="15.75" x14ac:dyDescent="0.25">
      <c r="A45" s="129" t="s">
        <v>264</v>
      </c>
      <c r="B45" s="11">
        <f>'[4]32тарифы'!D163*B15+201.25*1.12</f>
        <v>19131.42514535501</v>
      </c>
      <c r="C45" s="23"/>
      <c r="D45" s="24"/>
      <c r="E45" s="3"/>
      <c r="F45" s="3"/>
      <c r="G45" s="3"/>
    </row>
    <row r="46" spans="1:7" s="4" customFormat="1" ht="15.75" x14ac:dyDescent="0.25">
      <c r="A46" s="126" t="s">
        <v>265</v>
      </c>
      <c r="B46" s="121">
        <f>SUM(B47:B65)</f>
        <v>55344.369999999995</v>
      </c>
      <c r="C46" s="9"/>
      <c r="D46" s="10"/>
    </row>
    <row r="47" spans="1:7" ht="15.75" x14ac:dyDescent="0.25">
      <c r="A47" s="127" t="s">
        <v>324</v>
      </c>
      <c r="B47" s="11">
        <v>3612</v>
      </c>
      <c r="C47" s="9"/>
      <c r="D47" s="10"/>
      <c r="E47" s="3" t="s">
        <v>267</v>
      </c>
      <c r="F47" s="3"/>
      <c r="G47" s="3"/>
    </row>
    <row r="48" spans="1:7" ht="15.75" x14ac:dyDescent="0.25">
      <c r="A48" s="127" t="s">
        <v>315</v>
      </c>
      <c r="B48" s="11">
        <v>4386</v>
      </c>
      <c r="C48" s="9"/>
      <c r="D48" s="10"/>
      <c r="E48" s="3" t="s">
        <v>269</v>
      </c>
      <c r="F48" s="3"/>
      <c r="G48" s="3"/>
    </row>
    <row r="49" spans="1:5" ht="15.75" hidden="1" x14ac:dyDescent="0.25">
      <c r="A49" s="95" t="s">
        <v>270</v>
      </c>
      <c r="B49" s="11">
        <v>0</v>
      </c>
      <c r="C49" s="9"/>
      <c r="D49" s="10"/>
      <c r="E49" s="3"/>
    </row>
    <row r="50" spans="1:5" ht="15.75" hidden="1" x14ac:dyDescent="0.25">
      <c r="A50" s="131" t="s">
        <v>373</v>
      </c>
      <c r="B50" s="8">
        <v>0</v>
      </c>
      <c r="C50" s="9"/>
      <c r="D50" s="10"/>
      <c r="E50" s="3"/>
    </row>
    <row r="51" spans="1:5" ht="15.75" hidden="1" x14ac:dyDescent="0.25">
      <c r="A51" s="95" t="s">
        <v>272</v>
      </c>
      <c r="B51" s="11">
        <v>0</v>
      </c>
      <c r="C51" s="9"/>
      <c r="D51" s="10"/>
      <c r="E51" s="3"/>
    </row>
    <row r="52" spans="1:5" ht="15.75" hidden="1" x14ac:dyDescent="0.25">
      <c r="A52" s="95" t="s">
        <v>314</v>
      </c>
      <c r="B52" s="11">
        <f>B21*'[4]32тарифы'!D177</f>
        <v>0</v>
      </c>
      <c r="C52" s="9"/>
      <c r="D52" s="10">
        <v>105.14</v>
      </c>
      <c r="E52" s="3"/>
    </row>
    <row r="53" spans="1:5" ht="15.75" x14ac:dyDescent="0.25">
      <c r="A53" s="131" t="s">
        <v>520</v>
      </c>
      <c r="B53" s="8">
        <v>4200</v>
      </c>
      <c r="C53" s="9">
        <v>0</v>
      </c>
      <c r="D53" s="10">
        <v>522.99</v>
      </c>
      <c r="E53" s="3"/>
    </row>
    <row r="54" spans="1:5" ht="15.75" hidden="1" x14ac:dyDescent="0.25">
      <c r="A54" s="111" t="s">
        <v>275</v>
      </c>
      <c r="B54" s="8"/>
      <c r="C54" s="9">
        <v>1</v>
      </c>
      <c r="D54" s="28">
        <v>695.13</v>
      </c>
      <c r="E54" s="3"/>
    </row>
    <row r="55" spans="1:5" ht="15.75" hidden="1" x14ac:dyDescent="0.25">
      <c r="A55" s="95" t="s">
        <v>345</v>
      </c>
      <c r="B55" s="11"/>
      <c r="C55" s="9"/>
      <c r="D55" s="28"/>
      <c r="E55" s="3"/>
    </row>
    <row r="56" spans="1:5" ht="15.75" x14ac:dyDescent="0.25">
      <c r="A56" s="95" t="s">
        <v>518</v>
      </c>
      <c r="B56" s="11">
        <v>10286.59</v>
      </c>
      <c r="C56" s="9">
        <v>0</v>
      </c>
      <c r="D56" s="10">
        <f>10695.76/1.18</f>
        <v>9064.203389830509</v>
      </c>
      <c r="E56" s="3"/>
    </row>
    <row r="57" spans="1:5" ht="15.75" x14ac:dyDescent="0.25">
      <c r="A57" s="95" t="s">
        <v>373</v>
      </c>
      <c r="B57" s="11">
        <v>8133.61</v>
      </c>
      <c r="C57" s="9">
        <v>0</v>
      </c>
      <c r="D57" s="10">
        <f>2300/1.18</f>
        <v>1949.1525423728815</v>
      </c>
      <c r="E57" s="3"/>
    </row>
    <row r="58" spans="1:5" ht="15.75" hidden="1" x14ac:dyDescent="0.25">
      <c r="A58" s="131" t="s">
        <v>344</v>
      </c>
      <c r="B58" s="8"/>
      <c r="C58" s="9">
        <v>0</v>
      </c>
      <c r="D58" s="10">
        <v>0</v>
      </c>
      <c r="E58" s="130">
        <f>B80+B46-B59+3484.26</f>
        <v>76984.749999999985</v>
      </c>
    </row>
    <row r="59" spans="1:5" ht="15.75" hidden="1" x14ac:dyDescent="0.25">
      <c r="A59" s="131" t="s">
        <v>278</v>
      </c>
      <c r="B59" s="8">
        <f>B13*'[4]32тарифы'!D184</f>
        <v>0</v>
      </c>
      <c r="C59" s="9"/>
      <c r="D59" s="10"/>
      <c r="E59" s="3"/>
    </row>
    <row r="60" spans="1:5" ht="15.75" hidden="1" x14ac:dyDescent="0.25">
      <c r="A60" s="110" t="s">
        <v>346</v>
      </c>
      <c r="B60" s="8">
        <v>0</v>
      </c>
      <c r="C60" s="9"/>
      <c r="D60" s="10"/>
      <c r="E60" s="3"/>
    </row>
    <row r="61" spans="1:5" ht="15.75" hidden="1" x14ac:dyDescent="0.25">
      <c r="A61" s="110" t="s">
        <v>402</v>
      </c>
      <c r="B61" s="8">
        <v>0</v>
      </c>
      <c r="C61" s="9"/>
      <c r="D61" s="10">
        <v>0</v>
      </c>
      <c r="E61" s="3"/>
    </row>
    <row r="62" spans="1:5" ht="15.75" x14ac:dyDescent="0.25">
      <c r="A62" s="127" t="s">
        <v>281</v>
      </c>
      <c r="B62" s="11">
        <v>36.369999999999997</v>
      </c>
      <c r="C62" s="9"/>
      <c r="D62" s="10">
        <v>0</v>
      </c>
      <c r="E62" s="3"/>
    </row>
    <row r="63" spans="1:5" ht="15.75" x14ac:dyDescent="0.25">
      <c r="A63" s="127" t="s">
        <v>325</v>
      </c>
      <c r="B63" s="132">
        <v>24689.8</v>
      </c>
      <c r="C63" s="30">
        <v>1</v>
      </c>
      <c r="D63" s="10">
        <v>0</v>
      </c>
      <c r="E63" s="3"/>
    </row>
    <row r="64" spans="1:5" ht="15.75" hidden="1" x14ac:dyDescent="0.25">
      <c r="A64" s="19" t="s">
        <v>283</v>
      </c>
      <c r="B64" s="132">
        <v>0</v>
      </c>
      <c r="C64" s="30">
        <v>80</v>
      </c>
      <c r="D64" s="10">
        <v>2</v>
      </c>
      <c r="E64" s="3">
        <v>1</v>
      </c>
    </row>
    <row r="65" spans="1:4" ht="15.75" hidden="1" x14ac:dyDescent="0.25">
      <c r="A65" s="19" t="s">
        <v>284</v>
      </c>
      <c r="B65" s="132">
        <v>0</v>
      </c>
      <c r="C65" s="32"/>
      <c r="D65" s="24">
        <v>0</v>
      </c>
    </row>
    <row r="66" spans="1:4" s="4" customFormat="1" ht="15.75" x14ac:dyDescent="0.25">
      <c r="A66" s="133" t="s">
        <v>285</v>
      </c>
      <c r="B66" s="121">
        <f>SUM(B67:B74)</f>
        <v>289084.72725852806</v>
      </c>
      <c r="C66" s="23"/>
      <c r="D66" s="24"/>
    </row>
    <row r="67" spans="1:4" ht="15.75" hidden="1" x14ac:dyDescent="0.25">
      <c r="A67" s="110" t="s">
        <v>286</v>
      </c>
      <c r="B67" s="8">
        <v>0</v>
      </c>
      <c r="C67" s="23"/>
      <c r="D67" s="24"/>
    </row>
    <row r="68" spans="1:4" ht="15.75" x14ac:dyDescent="0.25">
      <c r="A68" s="127" t="s">
        <v>287</v>
      </c>
      <c r="B68" s="135">
        <f>1.04*100996.57*1.12*1.0952</f>
        <v>128840.20934686721</v>
      </c>
      <c r="C68" s="23"/>
      <c r="D68" s="24"/>
    </row>
    <row r="69" spans="1:4" ht="15.75" hidden="1" x14ac:dyDescent="0.25">
      <c r="A69" s="110" t="s">
        <v>288</v>
      </c>
      <c r="B69" s="8">
        <v>0</v>
      </c>
      <c r="C69" s="23"/>
      <c r="D69" s="24"/>
    </row>
    <row r="70" spans="1:4" ht="15.75" x14ac:dyDescent="0.25">
      <c r="A70" s="129" t="s">
        <v>289</v>
      </c>
      <c r="B70" s="11">
        <f>1.35*B15</f>
        <v>4810.7250000000004</v>
      </c>
      <c r="C70" s="23"/>
      <c r="D70" s="24"/>
    </row>
    <row r="71" spans="1:4" ht="15.75" x14ac:dyDescent="0.25">
      <c r="A71" s="129" t="s">
        <v>290</v>
      </c>
      <c r="B71" s="11">
        <f>5.06*B15</f>
        <v>18031.309999999998</v>
      </c>
      <c r="C71" s="23"/>
      <c r="D71" s="24"/>
    </row>
    <row r="72" spans="1:4" ht="15.75" x14ac:dyDescent="0.25">
      <c r="A72" s="129" t="s">
        <v>291</v>
      </c>
      <c r="B72" s="11">
        <f>17.68*B15</f>
        <v>63002.68</v>
      </c>
      <c r="C72" s="23"/>
      <c r="D72" s="24"/>
    </row>
    <row r="73" spans="1:4" ht="15.75" x14ac:dyDescent="0.25">
      <c r="A73" s="129" t="s">
        <v>292</v>
      </c>
      <c r="B73" s="11">
        <f>1.04*6175.68113112874*1.12*1.0952</f>
        <v>7878.2482394612462</v>
      </c>
      <c r="C73" s="23"/>
      <c r="D73" s="24"/>
    </row>
    <row r="74" spans="1:4" ht="15.75" x14ac:dyDescent="0.25">
      <c r="A74" s="129" t="s">
        <v>293</v>
      </c>
      <c r="B74" s="11">
        <f>1.04*52145.5909379349*1.12*1.0952</f>
        <v>66521.554672199607</v>
      </c>
      <c r="C74" s="23"/>
      <c r="D74" s="24"/>
    </row>
    <row r="75" spans="1:4" ht="63" x14ac:dyDescent="0.25">
      <c r="A75" s="136" t="s">
        <v>294</v>
      </c>
      <c r="B75" s="121">
        <f>SUM(B76:B76)</f>
        <v>132831.11296000003</v>
      </c>
      <c r="C75" s="23"/>
      <c r="D75" s="24"/>
    </row>
    <row r="76" spans="1:4" ht="15.75" x14ac:dyDescent="0.25">
      <c r="A76" s="129" t="s">
        <v>295</v>
      </c>
      <c r="B76" s="11">
        <f>108290*1.12*1.0952</f>
        <v>132831.11296000003</v>
      </c>
      <c r="C76" s="23"/>
      <c r="D76" s="24"/>
    </row>
    <row r="77" spans="1:4" s="4" customFormat="1" ht="15.75" x14ac:dyDescent="0.25">
      <c r="A77" s="133" t="s">
        <v>296</v>
      </c>
      <c r="B77" s="121">
        <f>SUM(B78:B81)</f>
        <v>109316.96481360545</v>
      </c>
      <c r="C77" s="23"/>
      <c r="D77" s="24"/>
    </row>
    <row r="78" spans="1:4" ht="15.75" x14ac:dyDescent="0.25">
      <c r="A78" s="137" t="s">
        <v>297</v>
      </c>
      <c r="B78" s="11">
        <f>'[4]32тарифы'!D170*B15*1.0952</f>
        <v>84096.899747450254</v>
      </c>
      <c r="C78" s="23"/>
      <c r="D78" s="24"/>
    </row>
    <row r="79" spans="1:4" ht="15.75" hidden="1" x14ac:dyDescent="0.25">
      <c r="A79" s="137" t="s">
        <v>298</v>
      </c>
      <c r="B79" s="135">
        <f>(B26/1.2)*30%</f>
        <v>0</v>
      </c>
      <c r="C79" s="23"/>
      <c r="D79" s="24"/>
    </row>
    <row r="80" spans="1:4" ht="15.75" x14ac:dyDescent="0.25">
      <c r="A80" s="138" t="s">
        <v>299</v>
      </c>
      <c r="B80" s="11">
        <f>10487.85+7668.27</f>
        <v>18156.120000000003</v>
      </c>
      <c r="C80" s="23"/>
      <c r="D80" s="24"/>
    </row>
    <row r="81" spans="1:4" ht="15.75" x14ac:dyDescent="0.25">
      <c r="A81" s="138" t="s">
        <v>300</v>
      </c>
      <c r="B81" s="11">
        <f>'[4]32тарифы'!D173*B13*1.01</f>
        <v>7063.9450661551946</v>
      </c>
      <c r="C81" s="23"/>
      <c r="D81" s="24"/>
    </row>
    <row r="82" spans="1:4" ht="15.75" x14ac:dyDescent="0.25">
      <c r="A82" s="233" t="s">
        <v>301</v>
      </c>
      <c r="B82" s="14">
        <f>B32+B42+B46+B66+B75+B77</f>
        <v>863816.77017748845</v>
      </c>
      <c r="C82" s="23"/>
      <c r="D82" s="24"/>
    </row>
    <row r="83" spans="1:4" ht="15.75" x14ac:dyDescent="0.25">
      <c r="A83" s="139" t="s">
        <v>302</v>
      </c>
      <c r="B83" s="11">
        <f>B82*0.03</f>
        <v>25914.503105324653</v>
      </c>
      <c r="C83" s="23"/>
      <c r="D83" s="24"/>
    </row>
    <row r="84" spans="1:4" s="18" customFormat="1" ht="15.75" x14ac:dyDescent="0.25">
      <c r="A84" s="140" t="s">
        <v>303</v>
      </c>
      <c r="B84" s="121">
        <f>B82+B83</f>
        <v>889731.27328281314</v>
      </c>
      <c r="C84" s="23"/>
      <c r="D84" s="24"/>
    </row>
    <row r="85" spans="1:4" ht="16.5" thickBot="1" x14ac:dyDescent="0.3">
      <c r="A85" s="141" t="s">
        <v>304</v>
      </c>
      <c r="B85" s="142">
        <f>B84*0.2</f>
        <v>177946.25465656264</v>
      </c>
      <c r="C85" s="23"/>
      <c r="D85" s="24"/>
    </row>
    <row r="86" spans="1:4" s="4" customFormat="1" ht="16.5" thickBot="1" x14ac:dyDescent="0.3">
      <c r="A86" s="38" t="s">
        <v>305</v>
      </c>
      <c r="B86" s="46">
        <f>B84+B85</f>
        <v>1067677.5279393757</v>
      </c>
      <c r="C86" s="40"/>
      <c r="D86" s="41"/>
    </row>
    <row r="87" spans="1:4" s="4" customFormat="1" ht="16.5" thickBot="1" x14ac:dyDescent="0.3">
      <c r="A87" s="42" t="s">
        <v>306</v>
      </c>
      <c r="B87" s="46">
        <f>B10+B24+B26+B28+B29-B86</f>
        <v>-1538154.8179393758</v>
      </c>
      <c r="C87" s="43"/>
      <c r="D87" s="43"/>
    </row>
    <row r="88" spans="1:4" s="4" customFormat="1" ht="16.5" hidden="1" thickBot="1" x14ac:dyDescent="0.3">
      <c r="A88" s="44" t="s">
        <v>307</v>
      </c>
      <c r="B88" s="46"/>
      <c r="C88" s="43"/>
      <c r="D88" s="43"/>
    </row>
    <row r="89" spans="1:4" s="4" customFormat="1" ht="16.5" hidden="1" thickBot="1" x14ac:dyDescent="0.3">
      <c r="A89" s="143" t="s">
        <v>308</v>
      </c>
      <c r="B89" s="46"/>
      <c r="C89" s="43"/>
      <c r="D89" s="43"/>
    </row>
    <row r="90" spans="1:4" ht="15.75" x14ac:dyDescent="0.25">
      <c r="A90" s="3"/>
      <c r="B90" s="130"/>
      <c r="C90" s="3"/>
      <c r="D90" s="3"/>
    </row>
    <row r="91" spans="1:4" ht="15.75" x14ac:dyDescent="0.25">
      <c r="A91" s="49"/>
      <c r="B91" s="3"/>
      <c r="C91" s="3"/>
      <c r="D91" s="3"/>
    </row>
    <row r="92" spans="1:4" ht="15.75" x14ac:dyDescent="0.25">
      <c r="A92" s="286" t="s">
        <v>542</v>
      </c>
      <c r="B92" s="286"/>
      <c r="C92" s="3"/>
      <c r="D92" s="3"/>
    </row>
    <row r="93" spans="1:4" ht="15.75" x14ac:dyDescent="0.25">
      <c r="A93" s="49"/>
      <c r="B93" s="3"/>
      <c r="C93" s="3"/>
      <c r="D93" s="3"/>
    </row>
    <row r="94" spans="1:4" ht="15.75" hidden="1" x14ac:dyDescent="0.25">
      <c r="A94" s="292" t="s">
        <v>399</v>
      </c>
      <c r="B94" s="292"/>
      <c r="C94" s="51"/>
      <c r="D94" s="3"/>
    </row>
    <row r="95" spans="1:4" ht="15.75" x14ac:dyDescent="0.25">
      <c r="A95" s="3"/>
      <c r="B95" s="3"/>
      <c r="C95" s="3"/>
      <c r="D95" s="3"/>
    </row>
  </sheetData>
  <autoFilter ref="A32:G89" xr:uid="{00000000-0009-0000-0000-000048000000}">
    <filterColumn colId="1">
      <filters>
        <filter val="1 067 677,53"/>
        <filter val="-1 538 154,82"/>
        <filter val="10 286,59"/>
        <filter val="10 707,13"/>
        <filter val="109 316,96"/>
        <filter val="128 840,21"/>
        <filter val="132 831,11"/>
        <filter val="177 946,25"/>
        <filter val="18 031,31"/>
        <filter val="18 156,12"/>
        <filter val="19 131,43"/>
        <filter val="19 255,90"/>
        <filter val="20 929,32"/>
        <filter val="24 689,80"/>
        <filter val="25 914,50"/>
        <filter val="27 225,65"/>
        <filter val="289 084,73"/>
        <filter val="3 612,00"/>
        <filter val="36,37"/>
        <filter val="4 200,00"/>
        <filter val="4 386,00"/>
        <filter val="4 810,73"/>
        <filter val="41 914,76"/>
        <filter val="50 344,30"/>
        <filter val="55 344,37"/>
        <filter val="63 002,68"/>
        <filter val="66 521,55"/>
        <filter val="7 063,95"/>
        <filter val="7 878,25"/>
        <filter val="8 133,61"/>
        <filter val="80 182,86"/>
        <filter val="84 096,90"/>
        <filter val="863 816,77"/>
        <filter val="87 731,11"/>
        <filter val="889 731,27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2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filterMode="1">
    <pageSetUpPr fitToPage="1"/>
  </sheetPr>
  <dimension ref="A1:G96"/>
  <sheetViews>
    <sheetView view="pageBreakPreview" topLeftCell="A63" zoomScale="70" zoomScaleNormal="100" zoomScaleSheetLayoutView="70" workbookViewId="0">
      <selection activeCell="A24" sqref="A24:B24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69" t="s">
        <v>224</v>
      </c>
      <c r="B1" s="269"/>
      <c r="C1" s="3"/>
      <c r="D1" s="3"/>
    </row>
    <row r="2" spans="1:4" ht="16.5" x14ac:dyDescent="0.25">
      <c r="A2" s="270" t="s">
        <v>225</v>
      </c>
      <c r="B2" s="270"/>
      <c r="C2" s="3"/>
      <c r="D2" s="3"/>
    </row>
    <row r="3" spans="1:4" ht="16.5" x14ac:dyDescent="0.25">
      <c r="A3" s="270" t="s">
        <v>226</v>
      </c>
      <c r="B3" s="270"/>
      <c r="C3" s="3"/>
      <c r="D3" s="3"/>
    </row>
    <row r="4" spans="1:4" ht="15.75" x14ac:dyDescent="0.25">
      <c r="A4" s="184" t="s">
        <v>494</v>
      </c>
      <c r="B4" s="184"/>
      <c r="C4" s="3"/>
      <c r="D4" s="3"/>
    </row>
    <row r="5" spans="1:4" ht="15.75" x14ac:dyDescent="0.25">
      <c r="A5" s="184" t="s">
        <v>165</v>
      </c>
      <c r="B5" s="184"/>
      <c r="C5" s="3"/>
      <c r="D5" s="3"/>
    </row>
    <row r="6" spans="1:4" ht="22.5" customHeight="1" x14ac:dyDescent="0.25">
      <c r="A6" s="184"/>
      <c r="B6" s="4"/>
      <c r="C6" s="4"/>
      <c r="D6" s="3"/>
    </row>
    <row r="7" spans="1:4" ht="16.5" thickBot="1" x14ac:dyDescent="0.3">
      <c r="A7" s="186"/>
      <c r="B7" s="4"/>
      <c r="C7" s="4"/>
      <c r="D7" s="3"/>
    </row>
    <row r="8" spans="1:4" ht="15.75" customHeight="1" x14ac:dyDescent="0.2">
      <c r="A8" s="288" t="s">
        <v>227</v>
      </c>
      <c r="B8" s="290" t="s">
        <v>228</v>
      </c>
      <c r="C8" s="265" t="s">
        <v>229</v>
      </c>
      <c r="D8" s="265" t="s">
        <v>230</v>
      </c>
    </row>
    <row r="9" spans="1:4" ht="13.5" thickBot="1" x14ac:dyDescent="0.25">
      <c r="A9" s="289"/>
      <c r="B9" s="291"/>
      <c r="C9" s="266"/>
      <c r="D9" s="266"/>
    </row>
    <row r="10" spans="1:4" s="227" customFormat="1" ht="16.5" thickBot="1" x14ac:dyDescent="0.3">
      <c r="A10" s="225" t="s">
        <v>231</v>
      </c>
      <c r="B10" s="204">
        <v>-1606073.37</v>
      </c>
      <c r="C10" s="226"/>
      <c r="D10" s="226"/>
    </row>
    <row r="11" spans="1:4" s="227" customFormat="1" ht="16.5" hidden="1" thickBot="1" x14ac:dyDescent="0.3">
      <c r="A11" s="228" t="s">
        <v>232</v>
      </c>
      <c r="B11" s="229"/>
      <c r="C11" s="230"/>
      <c r="D11" s="230"/>
    </row>
    <row r="12" spans="1:4" ht="15.75" x14ac:dyDescent="0.25">
      <c r="A12" s="231" t="s">
        <v>233</v>
      </c>
      <c r="B12" s="210"/>
      <c r="C12" s="5" t="s">
        <v>234</v>
      </c>
      <c r="D12" s="6" t="s">
        <v>234</v>
      </c>
    </row>
    <row r="13" spans="1:4" ht="15.75" hidden="1" x14ac:dyDescent="0.25">
      <c r="A13" s="107" t="s">
        <v>235</v>
      </c>
      <c r="B13" s="8">
        <v>2650.4</v>
      </c>
      <c r="C13" s="122" t="s">
        <v>234</v>
      </c>
      <c r="D13" s="10" t="s">
        <v>234</v>
      </c>
    </row>
    <row r="14" spans="1:4" ht="15.75" hidden="1" x14ac:dyDescent="0.25">
      <c r="A14" s="107" t="s">
        <v>236</v>
      </c>
      <c r="B14" s="8">
        <v>0</v>
      </c>
      <c r="C14" s="122"/>
      <c r="D14" s="10"/>
    </row>
    <row r="15" spans="1:4" ht="15.75" hidden="1" x14ac:dyDescent="0.25">
      <c r="A15" s="123" t="s">
        <v>237</v>
      </c>
      <c r="B15" s="11">
        <f>B13+B14</f>
        <v>2650.4</v>
      </c>
      <c r="C15" s="9"/>
      <c r="D15" s="10"/>
    </row>
    <row r="16" spans="1:4" ht="15.75" hidden="1" x14ac:dyDescent="0.25">
      <c r="A16" s="123" t="s">
        <v>238</v>
      </c>
      <c r="B16" s="11">
        <f>1216.1+2444.6/3</f>
        <v>2030.9666666666667</v>
      </c>
      <c r="C16" s="9" t="s">
        <v>234</v>
      </c>
      <c r="D16" s="10" t="s">
        <v>234</v>
      </c>
    </row>
    <row r="17" spans="1:7" ht="15.75" hidden="1" x14ac:dyDescent="0.25">
      <c r="A17" s="107" t="s">
        <v>239</v>
      </c>
      <c r="B17" s="8">
        <v>0</v>
      </c>
      <c r="C17" s="122" t="s">
        <v>234</v>
      </c>
      <c r="D17" s="10" t="s">
        <v>234</v>
      </c>
      <c r="E17" s="3"/>
      <c r="F17" s="3"/>
      <c r="G17" s="3"/>
    </row>
    <row r="18" spans="1:7" ht="15.75" hidden="1" x14ac:dyDescent="0.25">
      <c r="A18" s="107" t="s">
        <v>240</v>
      </c>
      <c r="B18" s="8">
        <v>680.6</v>
      </c>
      <c r="C18" s="122" t="s">
        <v>234</v>
      </c>
      <c r="D18" s="10" t="s">
        <v>234</v>
      </c>
      <c r="E18" s="3"/>
      <c r="F18" s="3"/>
      <c r="G18" s="3"/>
    </row>
    <row r="19" spans="1:7" ht="15.75" hidden="1" x14ac:dyDescent="0.25">
      <c r="A19" s="107" t="s">
        <v>241</v>
      </c>
      <c r="B19" s="8">
        <v>0</v>
      </c>
      <c r="C19" s="122" t="s">
        <v>234</v>
      </c>
      <c r="D19" s="10" t="s">
        <v>234</v>
      </c>
      <c r="E19" s="3"/>
      <c r="F19" s="3"/>
      <c r="G19" s="3"/>
    </row>
    <row r="20" spans="1:7" ht="15.75" hidden="1" x14ac:dyDescent="0.25">
      <c r="A20" s="107" t="s">
        <v>242</v>
      </c>
      <c r="B20" s="8">
        <v>749</v>
      </c>
      <c r="C20" s="122"/>
      <c r="D20" s="10"/>
      <c r="E20" s="3"/>
      <c r="F20" s="3"/>
      <c r="G20" s="3"/>
    </row>
    <row r="21" spans="1:7" ht="15.75" hidden="1" x14ac:dyDescent="0.25">
      <c r="A21" s="107" t="s">
        <v>243</v>
      </c>
      <c r="B21" s="8">
        <v>0</v>
      </c>
      <c r="C21" s="122" t="s">
        <v>234</v>
      </c>
      <c r="D21" s="10" t="s">
        <v>234</v>
      </c>
      <c r="E21" s="3"/>
      <c r="F21" s="3"/>
      <c r="G21" s="3"/>
    </row>
    <row r="22" spans="1:7" ht="15.75" hidden="1" x14ac:dyDescent="0.25">
      <c r="A22" s="107" t="s">
        <v>244</v>
      </c>
      <c r="B22" s="8">
        <v>158</v>
      </c>
      <c r="C22" s="122"/>
      <c r="D22" s="10"/>
      <c r="E22" s="3"/>
      <c r="F22" s="3"/>
      <c r="G22" s="3"/>
    </row>
    <row r="23" spans="1:7" ht="15.75" x14ac:dyDescent="0.25">
      <c r="A23" s="123"/>
      <c r="B23" s="11"/>
      <c r="C23" s="9"/>
      <c r="D23" s="10"/>
      <c r="E23" s="3"/>
      <c r="F23" s="3"/>
      <c r="G23" s="3"/>
    </row>
    <row r="24" spans="1:7" ht="15.75" x14ac:dyDescent="0.25">
      <c r="A24" s="259" t="s">
        <v>317</v>
      </c>
      <c r="B24" s="255">
        <f>VLOOKUP(A5,мкд!W:X,2,FALSE)</f>
        <v>345399.72</v>
      </c>
      <c r="C24" s="9"/>
      <c r="D24" s="10"/>
      <c r="E24" s="3">
        <v>10.860000000000001</v>
      </c>
      <c r="F24" s="3"/>
      <c r="G24" s="3"/>
    </row>
    <row r="25" spans="1:7" ht="15.75" x14ac:dyDescent="0.25">
      <c r="A25" s="124" t="s">
        <v>318</v>
      </c>
      <c r="B25" s="14">
        <f>VLOOKUP(A5,мкд!W:Y,3,FALSE)</f>
        <v>360131.52999999997</v>
      </c>
      <c r="C25" s="9"/>
      <c r="D25" s="10"/>
      <c r="E25" s="3"/>
      <c r="F25" s="3"/>
      <c r="G25" s="3"/>
    </row>
    <row r="26" spans="1:7" ht="15.75" hidden="1" x14ac:dyDescent="0.25">
      <c r="A26" s="124" t="s">
        <v>319</v>
      </c>
      <c r="B26" s="14"/>
      <c r="C26" s="9"/>
      <c r="D26" s="10"/>
      <c r="E26" s="3"/>
      <c r="F26" s="3"/>
      <c r="G26" s="3"/>
    </row>
    <row r="27" spans="1:7" ht="15.75" hidden="1" x14ac:dyDescent="0.25">
      <c r="A27" s="124" t="s">
        <v>248</v>
      </c>
      <c r="B27" s="14">
        <f>B26</f>
        <v>0</v>
      </c>
      <c r="C27" s="9"/>
      <c r="D27" s="10"/>
      <c r="E27" s="3"/>
      <c r="F27" s="3"/>
      <c r="G27" s="3"/>
    </row>
    <row r="28" spans="1:7" ht="15.75" x14ac:dyDescent="0.25">
      <c r="A28" s="124" t="s">
        <v>391</v>
      </c>
      <c r="B28" s="14">
        <v>7154.31</v>
      </c>
      <c r="C28" s="9"/>
      <c r="D28" s="10"/>
      <c r="E28" s="3"/>
      <c r="F28" s="3"/>
      <c r="G28" s="3"/>
    </row>
    <row r="29" spans="1:7" ht="15.75" hidden="1" x14ac:dyDescent="0.25">
      <c r="A29" s="124" t="s">
        <v>250</v>
      </c>
      <c r="B29" s="11"/>
      <c r="C29" s="9"/>
      <c r="D29" s="10"/>
      <c r="E29" s="3"/>
      <c r="F29" s="3"/>
      <c r="G29" s="3"/>
    </row>
    <row r="30" spans="1:7" ht="15.75" x14ac:dyDescent="0.25">
      <c r="A30" s="125"/>
      <c r="B30" s="11"/>
      <c r="C30" s="9"/>
      <c r="D30" s="10"/>
      <c r="E30" s="3"/>
      <c r="F30" s="3"/>
      <c r="G30" s="3"/>
    </row>
    <row r="31" spans="1:7" ht="14.25" customHeight="1" x14ac:dyDescent="0.25">
      <c r="A31" s="232" t="s">
        <v>251</v>
      </c>
      <c r="B31" s="11"/>
      <c r="C31" s="9"/>
      <c r="D31" s="10"/>
      <c r="E31" s="3"/>
      <c r="F31" s="3"/>
      <c r="G31" s="3"/>
    </row>
    <row r="32" spans="1:7" s="18" customFormat="1" ht="31.5" x14ac:dyDescent="0.25">
      <c r="A32" s="126" t="s">
        <v>252</v>
      </c>
      <c r="B32" s="121">
        <f>SUM(B33:B41)</f>
        <v>80559.31</v>
      </c>
      <c r="C32" s="9"/>
      <c r="D32" s="10"/>
      <c r="E32" s="17">
        <f>(B86-B24-B26)/1.2/1.03</f>
        <v>259534.91050832253</v>
      </c>
      <c r="F32" s="17" t="e">
        <f>(#REF!-#REF!-#REF!)/1.2/1.03</f>
        <v>#REF!</v>
      </c>
      <c r="G32" s="17" t="e">
        <f>(#REF!-#REF!-#REF!)/1.2/1.03</f>
        <v>#REF!</v>
      </c>
    </row>
    <row r="33" spans="1:7" ht="15.75" x14ac:dyDescent="0.25">
      <c r="A33" s="127" t="s">
        <v>253</v>
      </c>
      <c r="B33" s="11">
        <v>62882.59</v>
      </c>
      <c r="C33" s="9"/>
      <c r="D33" s="10">
        <v>0</v>
      </c>
      <c r="E33" s="3"/>
      <c r="F33" s="3"/>
      <c r="G33" s="3"/>
    </row>
    <row r="34" spans="1:7" ht="15.75" x14ac:dyDescent="0.25">
      <c r="A34" s="128" t="s">
        <v>320</v>
      </c>
      <c r="B34" s="8">
        <v>17676.72</v>
      </c>
      <c r="C34" s="122"/>
      <c r="D34" s="10">
        <v>0</v>
      </c>
      <c r="E34" s="3"/>
      <c r="F34" s="3"/>
      <c r="G34" s="3"/>
    </row>
    <row r="35" spans="1:7" ht="15.75" hidden="1" x14ac:dyDescent="0.25">
      <c r="A35" s="127" t="s">
        <v>256</v>
      </c>
      <c r="B35" s="11"/>
      <c r="C35" s="9"/>
      <c r="D35" s="10">
        <v>0</v>
      </c>
      <c r="E35" s="3"/>
      <c r="F35" s="3"/>
      <c r="G35" s="3"/>
    </row>
    <row r="36" spans="1:7" ht="15.75" hidden="1" x14ac:dyDescent="0.25">
      <c r="A36" s="127" t="s">
        <v>255</v>
      </c>
      <c r="B36" s="11"/>
      <c r="C36" s="9" t="s">
        <v>234</v>
      </c>
      <c r="D36" s="10">
        <v>0</v>
      </c>
      <c r="E36" s="3"/>
      <c r="F36" s="3"/>
      <c r="G36" s="3"/>
    </row>
    <row r="37" spans="1:7" ht="15.75" hidden="1" x14ac:dyDescent="0.25">
      <c r="A37" s="127" t="s">
        <v>257</v>
      </c>
      <c r="B37" s="11">
        <v>0</v>
      </c>
      <c r="C37" s="9"/>
      <c r="D37" s="10">
        <v>0</v>
      </c>
      <c r="E37" s="3"/>
      <c r="F37" s="3"/>
      <c r="G37" s="3"/>
    </row>
    <row r="38" spans="1:7" ht="15.75" hidden="1" x14ac:dyDescent="0.25">
      <c r="A38" s="127" t="s">
        <v>255</v>
      </c>
      <c r="B38" s="11"/>
      <c r="C38" s="9"/>
      <c r="D38" s="10">
        <v>0</v>
      </c>
      <c r="E38" s="3"/>
      <c r="F38" s="3"/>
      <c r="G38" s="3"/>
    </row>
    <row r="39" spans="1:7" ht="15.75" hidden="1" x14ac:dyDescent="0.25">
      <c r="A39" s="19" t="s">
        <v>256</v>
      </c>
      <c r="B39" s="8"/>
      <c r="C39" s="9"/>
      <c r="D39" s="10">
        <v>0</v>
      </c>
      <c r="E39" s="3"/>
      <c r="F39" s="3"/>
      <c r="G39" s="3"/>
    </row>
    <row r="40" spans="1:7" ht="15.75" hidden="1" x14ac:dyDescent="0.25">
      <c r="A40" s="19" t="s">
        <v>257</v>
      </c>
      <c r="B40" s="11">
        <v>0</v>
      </c>
      <c r="C40" s="9"/>
      <c r="D40" s="10"/>
      <c r="E40" s="3"/>
      <c r="F40" s="3"/>
      <c r="G40" s="3"/>
    </row>
    <row r="41" spans="1:7" ht="15.75" hidden="1" x14ac:dyDescent="0.25">
      <c r="A41" s="19" t="s">
        <v>392</v>
      </c>
      <c r="B41" s="11"/>
      <c r="C41" s="9"/>
      <c r="D41" s="10"/>
      <c r="E41" s="3"/>
      <c r="F41" s="3"/>
      <c r="G41" s="3"/>
    </row>
    <row r="42" spans="1:7" s="18" customFormat="1" ht="47.25" x14ac:dyDescent="0.25">
      <c r="A42" s="126" t="s">
        <v>393</v>
      </c>
      <c r="B42" s="121">
        <f>SUM(B43:B45)</f>
        <v>15787.347007592987</v>
      </c>
      <c r="C42" s="9"/>
      <c r="D42" s="10"/>
      <c r="E42" s="17"/>
      <c r="F42" s="17"/>
      <c r="G42" s="17"/>
    </row>
    <row r="43" spans="1:7" ht="15.75" hidden="1" x14ac:dyDescent="0.25">
      <c r="A43" s="19" t="s">
        <v>262</v>
      </c>
      <c r="B43" s="11"/>
      <c r="C43" s="23"/>
      <c r="D43" s="24"/>
      <c r="E43" s="3"/>
      <c r="F43" s="3"/>
      <c r="G43" s="3"/>
    </row>
    <row r="44" spans="1:7" ht="15.75" hidden="1" x14ac:dyDescent="0.25">
      <c r="A44" s="19" t="s">
        <v>263</v>
      </c>
      <c r="B44" s="11"/>
      <c r="C44" s="23"/>
      <c r="D44" s="24"/>
      <c r="E44" s="3"/>
      <c r="F44" s="3"/>
      <c r="G44" s="3"/>
    </row>
    <row r="45" spans="1:7" ht="15.75" x14ac:dyDescent="0.25">
      <c r="A45" s="129" t="s">
        <v>264</v>
      </c>
      <c r="B45" s="11">
        <f>'[4]32тарифы'!D163*B15*1.0952+345.79*1.1194</f>
        <v>15787.347007592987</v>
      </c>
      <c r="C45" s="23"/>
      <c r="D45" s="24"/>
      <c r="E45" s="3"/>
      <c r="F45" s="3"/>
      <c r="G45" s="3"/>
    </row>
    <row r="46" spans="1:7" s="4" customFormat="1" ht="15.75" x14ac:dyDescent="0.25">
      <c r="A46" s="126" t="s">
        <v>265</v>
      </c>
      <c r="B46" s="121">
        <f>SUM(B47:B65)</f>
        <v>37878.230000000003</v>
      </c>
      <c r="C46" s="9"/>
      <c r="D46" s="10"/>
    </row>
    <row r="47" spans="1:7" ht="15.75" x14ac:dyDescent="0.25">
      <c r="A47" s="127" t="s">
        <v>324</v>
      </c>
      <c r="B47" s="11">
        <v>2647.68</v>
      </c>
      <c r="C47" s="9"/>
      <c r="D47" s="10"/>
      <c r="E47" s="3" t="s">
        <v>267</v>
      </c>
      <c r="F47" s="3"/>
      <c r="G47" s="3"/>
    </row>
    <row r="48" spans="1:7" ht="15.75" x14ac:dyDescent="0.25">
      <c r="A48" s="127" t="s">
        <v>315</v>
      </c>
      <c r="B48" s="11">
        <v>3214.98</v>
      </c>
      <c r="C48" s="9"/>
      <c r="D48" s="10"/>
      <c r="E48" s="3" t="s">
        <v>269</v>
      </c>
      <c r="F48" s="3"/>
      <c r="G48" s="3"/>
    </row>
    <row r="49" spans="1:5" ht="15.75" hidden="1" x14ac:dyDescent="0.25">
      <c r="A49" s="95" t="s">
        <v>270</v>
      </c>
      <c r="B49" s="11">
        <v>0</v>
      </c>
      <c r="C49" s="9"/>
      <c r="D49" s="10"/>
      <c r="E49" s="3"/>
    </row>
    <row r="50" spans="1:5" ht="15.75" hidden="1" x14ac:dyDescent="0.25">
      <c r="A50" s="95" t="s">
        <v>271</v>
      </c>
      <c r="B50" s="70">
        <v>0</v>
      </c>
      <c r="C50" s="9"/>
      <c r="D50" s="10"/>
      <c r="E50" s="3"/>
    </row>
    <row r="51" spans="1:5" ht="15.75" x14ac:dyDescent="0.25">
      <c r="A51" s="95" t="s">
        <v>394</v>
      </c>
      <c r="B51" s="11">
        <v>81.83</v>
      </c>
      <c r="C51" s="9"/>
      <c r="D51" s="10"/>
      <c r="E51" s="3"/>
    </row>
    <row r="52" spans="1:5" ht="15.75" hidden="1" x14ac:dyDescent="0.25">
      <c r="A52" s="95" t="s">
        <v>273</v>
      </c>
      <c r="B52" s="11">
        <f>B21*'[4]32тарифы'!D177</f>
        <v>0</v>
      </c>
      <c r="C52" s="9"/>
      <c r="D52" s="10">
        <v>105.14</v>
      </c>
      <c r="E52" s="3"/>
    </row>
    <row r="53" spans="1:5" ht="15.75" hidden="1" x14ac:dyDescent="0.25">
      <c r="A53" s="95" t="s">
        <v>274</v>
      </c>
      <c r="B53" s="70">
        <v>0</v>
      </c>
      <c r="C53" s="9">
        <v>0</v>
      </c>
      <c r="D53" s="10">
        <v>522.99</v>
      </c>
      <c r="E53" s="130">
        <f>B80+B46-B59+2145.46</f>
        <v>52943.54</v>
      </c>
    </row>
    <row r="54" spans="1:5" ht="15.75" hidden="1" x14ac:dyDescent="0.25">
      <c r="A54" s="26" t="s">
        <v>275</v>
      </c>
      <c r="B54" s="70">
        <v>0</v>
      </c>
      <c r="C54" s="9">
        <v>0</v>
      </c>
      <c r="D54" s="28">
        <v>695.13</v>
      </c>
      <c r="E54" s="3"/>
    </row>
    <row r="55" spans="1:5" ht="15.75" hidden="1" x14ac:dyDescent="0.25">
      <c r="A55" s="95" t="s">
        <v>276</v>
      </c>
      <c r="B55" s="11">
        <v>0</v>
      </c>
      <c r="C55" s="9"/>
      <c r="D55" s="28"/>
      <c r="E55" s="3"/>
    </row>
    <row r="56" spans="1:5" ht="15.75" hidden="1" x14ac:dyDescent="0.25">
      <c r="A56" s="95" t="s">
        <v>277</v>
      </c>
      <c r="B56" s="11">
        <v>0</v>
      </c>
      <c r="C56" s="9">
        <v>0</v>
      </c>
      <c r="D56" s="10">
        <f>10695.76/1.18</f>
        <v>9064.203389830509</v>
      </c>
      <c r="E56" s="3"/>
    </row>
    <row r="57" spans="1:5" ht="15.75" x14ac:dyDescent="0.25">
      <c r="A57" s="95" t="s">
        <v>518</v>
      </c>
      <c r="B57" s="11">
        <v>11675.34</v>
      </c>
      <c r="C57" s="9">
        <v>0</v>
      </c>
      <c r="D57" s="10">
        <f>2300/1.18</f>
        <v>1949.1525423728815</v>
      </c>
      <c r="E57" s="3"/>
    </row>
    <row r="58" spans="1:5" ht="15.75" hidden="1" x14ac:dyDescent="0.25">
      <c r="A58" s="95" t="s">
        <v>313</v>
      </c>
      <c r="B58" s="70">
        <v>0</v>
      </c>
      <c r="C58" s="9">
        <v>0</v>
      </c>
      <c r="D58" s="10">
        <v>0</v>
      </c>
      <c r="E58" s="3"/>
    </row>
    <row r="59" spans="1:5" ht="15.75" hidden="1" x14ac:dyDescent="0.25">
      <c r="A59" s="131" t="s">
        <v>278</v>
      </c>
      <c r="B59" s="8">
        <f>B13*'[4]32тарифы'!D184</f>
        <v>0</v>
      </c>
      <c r="C59" s="9"/>
      <c r="D59" s="10"/>
      <c r="E59" s="3"/>
    </row>
    <row r="60" spans="1:5" ht="15.75" hidden="1" x14ac:dyDescent="0.25">
      <c r="A60" s="19" t="s">
        <v>279</v>
      </c>
      <c r="B60" s="70">
        <v>0</v>
      </c>
      <c r="C60" s="9"/>
      <c r="D60" s="10"/>
      <c r="E60" s="3"/>
    </row>
    <row r="61" spans="1:5" ht="15.75" hidden="1" x14ac:dyDescent="0.25">
      <c r="A61" s="19" t="s">
        <v>396</v>
      </c>
      <c r="B61" s="70">
        <v>0</v>
      </c>
      <c r="C61" s="9"/>
      <c r="D61" s="10">
        <v>0</v>
      </c>
      <c r="E61" s="3"/>
    </row>
    <row r="62" spans="1:5" ht="15.75" hidden="1" x14ac:dyDescent="0.25">
      <c r="A62" s="127" t="s">
        <v>336</v>
      </c>
      <c r="B62" s="11">
        <v>0</v>
      </c>
      <c r="C62" s="9"/>
      <c r="D62" s="10">
        <v>0</v>
      </c>
      <c r="E62" s="3"/>
    </row>
    <row r="63" spans="1:5" ht="15.75" x14ac:dyDescent="0.25">
      <c r="A63" s="127" t="s">
        <v>397</v>
      </c>
      <c r="B63" s="132">
        <v>20258.400000000001</v>
      </c>
      <c r="C63" s="30">
        <v>1</v>
      </c>
      <c r="D63" s="10">
        <v>0</v>
      </c>
      <c r="E63" s="3"/>
    </row>
    <row r="64" spans="1:5" ht="15.75" hidden="1" x14ac:dyDescent="0.25">
      <c r="A64" s="19" t="s">
        <v>283</v>
      </c>
      <c r="B64" s="132">
        <v>0</v>
      </c>
      <c r="C64" s="30">
        <v>60</v>
      </c>
      <c r="D64" s="10">
        <v>2</v>
      </c>
      <c r="E64" s="3">
        <v>1</v>
      </c>
    </row>
    <row r="65" spans="1:5" ht="15.75" hidden="1" x14ac:dyDescent="0.25">
      <c r="A65" s="19" t="s">
        <v>284</v>
      </c>
      <c r="B65" s="132">
        <v>0</v>
      </c>
      <c r="C65" s="32"/>
      <c r="D65" s="24">
        <v>0</v>
      </c>
      <c r="E65" s="3"/>
    </row>
    <row r="66" spans="1:5" s="4" customFormat="1" ht="15.75" x14ac:dyDescent="0.25">
      <c r="A66" s="133" t="s">
        <v>285</v>
      </c>
      <c r="B66" s="121">
        <f>SUM(B67:B74)</f>
        <v>217205.74459994963</v>
      </c>
      <c r="C66" s="23"/>
      <c r="D66" s="24"/>
    </row>
    <row r="67" spans="1:5" ht="15.75" hidden="1" x14ac:dyDescent="0.25">
      <c r="A67" s="110" t="s">
        <v>286</v>
      </c>
      <c r="B67" s="8">
        <v>0</v>
      </c>
      <c r="C67" s="134"/>
      <c r="D67" s="24"/>
      <c r="E67" s="3"/>
    </row>
    <row r="68" spans="1:5" ht="15.75" x14ac:dyDescent="0.25">
      <c r="A68" s="127" t="s">
        <v>287</v>
      </c>
      <c r="B68" s="135">
        <f>(1.04*76902.74*1.1194)*1.0952</f>
        <v>98051.420710101229</v>
      </c>
      <c r="C68" s="23"/>
      <c r="D68" s="24"/>
      <c r="E68" s="3"/>
    </row>
    <row r="69" spans="1:5" ht="15.75" hidden="1" x14ac:dyDescent="0.25">
      <c r="A69" s="110" t="s">
        <v>288</v>
      </c>
      <c r="B69" s="8">
        <v>0</v>
      </c>
      <c r="C69" s="134"/>
      <c r="D69" s="24"/>
      <c r="E69" s="3" t="s">
        <v>398</v>
      </c>
    </row>
    <row r="70" spans="1:5" ht="15.75" x14ac:dyDescent="0.25">
      <c r="A70" s="129" t="s">
        <v>289</v>
      </c>
      <c r="B70" s="11">
        <f>1.35*B15</f>
        <v>3578.0400000000004</v>
      </c>
      <c r="C70" s="23"/>
      <c r="D70" s="24"/>
      <c r="E70" s="3"/>
    </row>
    <row r="71" spans="1:5" ht="15.75" x14ac:dyDescent="0.25">
      <c r="A71" s="129" t="s">
        <v>290</v>
      </c>
      <c r="B71" s="11">
        <f>5.06*B15</f>
        <v>13411.023999999999</v>
      </c>
      <c r="C71" s="23"/>
      <c r="D71" s="24"/>
      <c r="E71" s="3"/>
    </row>
    <row r="72" spans="1:5" ht="15.75" x14ac:dyDescent="0.25">
      <c r="A72" s="129" t="s">
        <v>291</v>
      </c>
      <c r="B72" s="11">
        <f>17.68*B15</f>
        <v>46859.072</v>
      </c>
      <c r="C72" s="23"/>
      <c r="D72" s="24"/>
      <c r="E72" s="3"/>
    </row>
    <row r="73" spans="1:5" ht="15.75" x14ac:dyDescent="0.25">
      <c r="A73" s="129" t="s">
        <v>292</v>
      </c>
      <c r="B73" s="11">
        <f>1.04*4593.24407743612*1.1194*1.0952</f>
        <v>5856.4117151205519</v>
      </c>
      <c r="C73" s="23"/>
      <c r="D73" s="24"/>
      <c r="E73" s="3"/>
    </row>
    <row r="74" spans="1:5" ht="15.75" x14ac:dyDescent="0.25">
      <c r="A74" s="129" t="s">
        <v>293</v>
      </c>
      <c r="B74" s="11">
        <f>1.04*38783.9691937429*1.1194*1.0952</f>
        <v>49449.776174727871</v>
      </c>
      <c r="C74" s="23"/>
      <c r="D74" s="24"/>
      <c r="E74" s="3"/>
    </row>
    <row r="75" spans="1:5" ht="63" x14ac:dyDescent="0.25">
      <c r="A75" s="136" t="s">
        <v>294</v>
      </c>
      <c r="B75" s="121">
        <f>SUM(B76:B76)</f>
        <v>98733.242680800002</v>
      </c>
      <c r="C75" s="23"/>
      <c r="D75" s="24"/>
      <c r="E75" s="3"/>
    </row>
    <row r="76" spans="1:5" ht="15.75" x14ac:dyDescent="0.25">
      <c r="A76" s="129" t="s">
        <v>295</v>
      </c>
      <c r="B76" s="11">
        <f>80535*1.1194*1.0952</f>
        <v>98733.242680800002</v>
      </c>
      <c r="C76" s="23"/>
      <c r="D76" s="24"/>
      <c r="E76" s="3"/>
    </row>
    <row r="77" spans="1:5" s="4" customFormat="1" ht="15.75" x14ac:dyDescent="0.25">
      <c r="A77" s="133" t="s">
        <v>296</v>
      </c>
      <c r="B77" s="121">
        <f>SUM(B78:B81)</f>
        <v>88820.647870465313</v>
      </c>
      <c r="C77" s="23"/>
      <c r="D77" s="24"/>
    </row>
    <row r="78" spans="1:5" ht="15.75" x14ac:dyDescent="0.25">
      <c r="A78" s="137" t="s">
        <v>297</v>
      </c>
      <c r="B78" s="11">
        <f>'[4]32тарифы'!D170*B15*1.1194*1.0952</f>
        <v>70016.427559327873</v>
      </c>
      <c r="C78" s="23"/>
      <c r="D78" s="24"/>
      <c r="E78" s="3"/>
    </row>
    <row r="79" spans="1:5" ht="15.75" hidden="1" x14ac:dyDescent="0.25">
      <c r="A79" s="137" t="s">
        <v>298</v>
      </c>
      <c r="B79" s="135">
        <f>(B26/1.2)*30%</f>
        <v>0</v>
      </c>
      <c r="C79" s="23"/>
      <c r="D79" s="24"/>
      <c r="E79" s="3"/>
    </row>
    <row r="80" spans="1:5" ht="15.75" x14ac:dyDescent="0.25">
      <c r="A80" s="138" t="s">
        <v>299</v>
      </c>
      <c r="B80" s="11">
        <f>7524.72+5395.13</f>
        <v>12919.85</v>
      </c>
      <c r="C80" s="23"/>
      <c r="D80" s="24"/>
      <c r="E80" s="3"/>
    </row>
    <row r="81" spans="1:4" ht="15.75" x14ac:dyDescent="0.25">
      <c r="A81" s="138" t="s">
        <v>300</v>
      </c>
      <c r="B81" s="11">
        <f>'[4]32тарифы'!D173*B13*1.12*1.01</f>
        <v>5884.3703111374371</v>
      </c>
      <c r="C81" s="23"/>
      <c r="D81" s="24"/>
    </row>
    <row r="82" spans="1:4" ht="15.75" x14ac:dyDescent="0.25">
      <c r="A82" s="233" t="s">
        <v>301</v>
      </c>
      <c r="B82" s="14">
        <f>B32+B42+B46+B66+B75+B77</f>
        <v>538984.52215880796</v>
      </c>
      <c r="C82" s="23"/>
      <c r="D82" s="24"/>
    </row>
    <row r="83" spans="1:4" ht="15.75" x14ac:dyDescent="0.25">
      <c r="A83" s="139" t="s">
        <v>302</v>
      </c>
      <c r="B83" s="11">
        <f>B82*0.03</f>
        <v>16169.535664764238</v>
      </c>
      <c r="C83" s="23"/>
      <c r="D83" s="24"/>
    </row>
    <row r="84" spans="1:4" s="18" customFormat="1" ht="15.75" x14ac:dyDescent="0.25">
      <c r="A84" s="140" t="s">
        <v>303</v>
      </c>
      <c r="B84" s="121">
        <f>B82+B83</f>
        <v>555154.05782357219</v>
      </c>
      <c r="C84" s="23"/>
      <c r="D84" s="24"/>
    </row>
    <row r="85" spans="1:4" ht="16.5" thickBot="1" x14ac:dyDescent="0.3">
      <c r="A85" s="141" t="s">
        <v>304</v>
      </c>
      <c r="B85" s="142">
        <f>B84*0.2</f>
        <v>111030.81156471444</v>
      </c>
      <c r="C85" s="23"/>
      <c r="D85" s="24"/>
    </row>
    <row r="86" spans="1:4" s="4" customFormat="1" ht="16.5" thickBot="1" x14ac:dyDescent="0.3">
      <c r="A86" s="38" t="s">
        <v>305</v>
      </c>
      <c r="B86" s="46">
        <f>B84+B85</f>
        <v>666184.86938828661</v>
      </c>
      <c r="C86" s="40"/>
      <c r="D86" s="41"/>
    </row>
    <row r="87" spans="1:4" s="4" customFormat="1" ht="16.5" thickBot="1" x14ac:dyDescent="0.3">
      <c r="A87" s="42" t="s">
        <v>306</v>
      </c>
      <c r="B87" s="46">
        <f>B10+B24+B26+B28+B29-B86</f>
        <v>-1919704.2093882868</v>
      </c>
      <c r="C87" s="43"/>
      <c r="D87" s="43"/>
    </row>
    <row r="88" spans="1:4" s="4" customFormat="1" ht="16.5" hidden="1" thickBot="1" x14ac:dyDescent="0.3">
      <c r="A88" s="44" t="s">
        <v>307</v>
      </c>
      <c r="B88" s="46"/>
      <c r="C88" s="43"/>
      <c r="D88" s="43"/>
    </row>
    <row r="89" spans="1:4" s="4" customFormat="1" ht="16.5" hidden="1" thickBot="1" x14ac:dyDescent="0.3">
      <c r="A89" s="143" t="s">
        <v>308</v>
      </c>
      <c r="B89" s="46"/>
      <c r="C89" s="43"/>
      <c r="D89" s="43"/>
    </row>
    <row r="90" spans="1:4" s="4" customFormat="1" ht="15.75" x14ac:dyDescent="0.25">
      <c r="A90" s="47"/>
      <c r="B90" s="200"/>
      <c r="C90" s="43"/>
      <c r="D90" s="43"/>
    </row>
    <row r="91" spans="1:4" ht="15.75" customHeight="1" x14ac:dyDescent="0.25">
      <c r="A91" s="298"/>
      <c r="B91" s="298"/>
      <c r="C91" s="3"/>
      <c r="D91" s="3"/>
    </row>
    <row r="92" spans="1:4" ht="15.75" x14ac:dyDescent="0.25">
      <c r="A92" s="286" t="s">
        <v>542</v>
      </c>
      <c r="B92" s="286"/>
      <c r="C92" s="3"/>
      <c r="D92" s="3"/>
    </row>
    <row r="93" spans="1:4" ht="15.75" x14ac:dyDescent="0.25">
      <c r="A93" s="49"/>
      <c r="B93" s="3"/>
      <c r="C93" s="3"/>
      <c r="D93" s="3"/>
    </row>
    <row r="94" spans="1:4" ht="15.75" hidden="1" x14ac:dyDescent="0.25">
      <c r="A94" s="286" t="s">
        <v>399</v>
      </c>
      <c r="B94" s="286"/>
      <c r="C94" s="3"/>
      <c r="D94" s="3"/>
    </row>
    <row r="95" spans="1:4" ht="15.75" x14ac:dyDescent="0.25">
      <c r="A95" s="51"/>
      <c r="B95" s="51"/>
      <c r="C95" s="51"/>
      <c r="D95" s="3"/>
    </row>
    <row r="96" spans="1:4" ht="15.75" x14ac:dyDescent="0.25">
      <c r="A96" s="3"/>
      <c r="B96" s="3"/>
      <c r="C96" s="3"/>
      <c r="D96" s="3"/>
    </row>
  </sheetData>
  <autoFilter ref="A31:G89" xr:uid="{00000000-0009-0000-0000-000049000000}">
    <filterColumn colId="1">
      <filters>
        <filter val="-1 919 704,21"/>
        <filter val="11 675,34"/>
        <filter val="111 030,81"/>
        <filter val="12 919,85"/>
        <filter val="13 411,02"/>
        <filter val="15 787,35"/>
        <filter val="16 169,54"/>
        <filter val="17 676,72"/>
        <filter val="2 647,68"/>
        <filter val="20 258,40"/>
        <filter val="217 205,74"/>
        <filter val="3 214,98"/>
        <filter val="3 578,04"/>
        <filter val="37 878,23"/>
        <filter val="46 859,07"/>
        <filter val="49 449,78"/>
        <filter val="5 856,41"/>
        <filter val="5 884,37"/>
        <filter val="538 984,52"/>
        <filter val="555 154,06"/>
        <filter val="62 882,59"/>
        <filter val="666 184,87"/>
        <filter val="70 016,43"/>
        <filter val="80 559,31"/>
        <filter val="81,83"/>
        <filter val="88 820,65"/>
        <filter val="98 051,42"/>
        <filter val="98 733,24"/>
      </filters>
    </filterColumn>
  </autoFilter>
  <mergeCells count="10">
    <mergeCell ref="A1:B1"/>
    <mergeCell ref="A2:B2"/>
    <mergeCell ref="A3:B3"/>
    <mergeCell ref="A8:A9"/>
    <mergeCell ref="B8:B9"/>
    <mergeCell ref="D8:D9"/>
    <mergeCell ref="A91:B91"/>
    <mergeCell ref="A92:B92"/>
    <mergeCell ref="A94:B94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5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filterMode="1">
    <pageSetUpPr fitToPage="1"/>
  </sheetPr>
  <dimension ref="A1:G95"/>
  <sheetViews>
    <sheetView view="pageBreakPreview" topLeftCell="A70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95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167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386674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2063.6999999999998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0</v>
      </c>
      <c r="C14" s="60"/>
      <c r="D14" s="59"/>
    </row>
    <row r="15" spans="1:4" ht="15.75" hidden="1" x14ac:dyDescent="0.25">
      <c r="A15" s="58" t="s">
        <v>237</v>
      </c>
      <c r="B15" s="11">
        <f>B13+B14</f>
        <v>2063.6999999999998</v>
      </c>
      <c r="C15" s="61"/>
      <c r="D15" s="62"/>
    </row>
    <row r="16" spans="1:4" ht="16.5" hidden="1" thickBot="1" x14ac:dyDescent="0.3">
      <c r="A16" s="58" t="s">
        <v>238</v>
      </c>
      <c r="B16" s="11">
        <f>610+2294.4/3</f>
        <v>1374.8000000000002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0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832.3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116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617052.07999999996</v>
      </c>
      <c r="C24" s="59"/>
      <c r="D24" s="62"/>
      <c r="E24" s="194">
        <v>22</v>
      </c>
      <c r="F24" s="195">
        <v>24.626799999999999</v>
      </c>
      <c r="G24" s="54"/>
    </row>
    <row r="25" spans="1:7" ht="16.5" thickBot="1" x14ac:dyDescent="0.3">
      <c r="A25" s="64" t="s">
        <v>318</v>
      </c>
      <c r="B25" s="14">
        <f>VLOOKUP(A5,мкд!W:Y,3,FALSE)</f>
        <v>609480.62999999989</v>
      </c>
      <c r="C25" s="63"/>
      <c r="D25" s="62"/>
      <c r="E25" s="54"/>
      <c r="F25" s="54"/>
      <c r="G25" s="54"/>
    </row>
    <row r="26" spans="1:7" ht="15.75" hidden="1" x14ac:dyDescent="0.25">
      <c r="A26" s="64" t="s">
        <v>319</v>
      </c>
      <c r="B26" s="14"/>
      <c r="C26" s="57"/>
      <c r="D26" s="59"/>
      <c r="E26" s="54"/>
      <c r="F26" s="54"/>
      <c r="G26" s="54"/>
    </row>
    <row r="27" spans="1:7" ht="16.5" hidden="1" thickBot="1" x14ac:dyDescent="0.3">
      <c r="A27" s="64" t="s">
        <v>248</v>
      </c>
      <c r="B27" s="14">
        <f>B26</f>
        <v>0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7154.31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367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27256.766097523199</v>
      </c>
      <c r="C32" s="59"/>
      <c r="D32" s="62"/>
      <c r="E32" s="67">
        <f>(B86-B26-B24)/1.2/1.03</f>
        <v>-129082.8196622199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f>18494.64*1.1194*1.0952</f>
        <v>22673.816097523199</v>
      </c>
      <c r="C33" s="63"/>
      <c r="D33" s="62">
        <v>22334.59</v>
      </c>
      <c r="E33" s="54"/>
      <c r="F33" s="54"/>
      <c r="G33" s="54"/>
    </row>
    <row r="34" spans="1:7" ht="15.75" hidden="1" x14ac:dyDescent="0.25">
      <c r="A34" s="69" t="s">
        <v>320</v>
      </c>
      <c r="B34" s="11">
        <v>0</v>
      </c>
      <c r="C34" s="57"/>
      <c r="D34" s="59">
        <v>0</v>
      </c>
      <c r="E34" s="54"/>
      <c r="F34" s="54"/>
      <c r="G34" s="54"/>
    </row>
    <row r="35" spans="1:7" ht="16.5" thickBot="1" x14ac:dyDescent="0.3">
      <c r="A35" s="69" t="s">
        <v>256</v>
      </c>
      <c r="B35" s="11">
        <v>4582.95</v>
      </c>
      <c r="C35" s="62"/>
      <c r="D35" s="59">
        <v>0</v>
      </c>
      <c r="E35" s="54"/>
      <c r="F35" s="54"/>
      <c r="G35" s="54"/>
    </row>
    <row r="36" spans="1:7" ht="16.5" hidden="1" thickBot="1" x14ac:dyDescent="0.3">
      <c r="A36" s="69" t="s">
        <v>255</v>
      </c>
      <c r="B36" s="11"/>
      <c r="C36" s="62" t="s">
        <v>234</v>
      </c>
      <c r="D36" s="59">
        <v>0</v>
      </c>
      <c r="E36" s="54"/>
      <c r="F36" s="54"/>
      <c r="G36" s="54"/>
    </row>
    <row r="37" spans="1:7" ht="16.5" hidden="1" thickBot="1" x14ac:dyDescent="0.3">
      <c r="A37" s="69" t="s">
        <v>257</v>
      </c>
      <c r="B37" s="11">
        <v>0</v>
      </c>
      <c r="C37" s="62"/>
      <c r="D37" s="59">
        <v>0</v>
      </c>
      <c r="E37" s="54"/>
      <c r="F37" s="54"/>
      <c r="G37" s="54"/>
    </row>
    <row r="38" spans="1:7" ht="16.5" hidden="1" thickBot="1" x14ac:dyDescent="0.3">
      <c r="A38" s="69" t="s">
        <v>258</v>
      </c>
      <c r="B38" s="11">
        <v>0</v>
      </c>
      <c r="C38" s="62"/>
      <c r="D38" s="59">
        <v>0</v>
      </c>
      <c r="E38" s="54"/>
      <c r="F38" s="54"/>
      <c r="G38" s="54"/>
    </row>
    <row r="39" spans="1:7" ht="32.25" hidden="1" thickBot="1" x14ac:dyDescent="0.3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6.5" hidden="1" thickBot="1" x14ac:dyDescent="0.3">
      <c r="A40" s="69" t="s">
        <v>338</v>
      </c>
      <c r="B40" s="11">
        <v>0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339</v>
      </c>
      <c r="B41" s="11">
        <v>0</v>
      </c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26125.50598470879</v>
      </c>
      <c r="C42" s="56"/>
      <c r="D42" s="62"/>
      <c r="E42" s="67"/>
      <c r="F42" s="67"/>
      <c r="G42" s="67"/>
    </row>
    <row r="43" spans="1:7" ht="15.75" hidden="1" x14ac:dyDescent="0.25">
      <c r="A43" s="69" t="s">
        <v>262</v>
      </c>
      <c r="B43" s="11"/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12450.73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('[1]34тарифы'!D163*B15+205.39)*1.1194*1.0952</f>
        <v>13674.775984708793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15852.91</v>
      </c>
      <c r="C46" s="56"/>
      <c r="D46" s="62"/>
    </row>
    <row r="47" spans="1:7" ht="15.75" hidden="1" x14ac:dyDescent="0.25">
      <c r="A47" s="69" t="s">
        <v>324</v>
      </c>
      <c r="B47" s="11">
        <v>0</v>
      </c>
      <c r="C47" s="57"/>
      <c r="D47" s="59"/>
      <c r="E47" s="54" t="s">
        <v>267</v>
      </c>
      <c r="F47" s="54"/>
      <c r="G47" s="54"/>
    </row>
    <row r="48" spans="1:7" ht="15.75" hidden="1" x14ac:dyDescent="0.25">
      <c r="A48" s="69" t="s">
        <v>315</v>
      </c>
      <c r="B48" s="11">
        <v>0</v>
      </c>
      <c r="C48" s="62"/>
      <c r="D48" s="59"/>
      <c r="E48" s="54" t="s">
        <v>269</v>
      </c>
      <c r="F48" s="54"/>
      <c r="G48" s="54"/>
    </row>
    <row r="49" spans="1:5" ht="15.75" hidden="1" x14ac:dyDescent="0.25">
      <c r="A49" s="75" t="s">
        <v>465</v>
      </c>
      <c r="B49" s="162">
        <v>0</v>
      </c>
      <c r="C49" s="62"/>
      <c r="D49" s="59"/>
      <c r="E49" s="54"/>
    </row>
    <row r="50" spans="1:5" ht="15.75" x14ac:dyDescent="0.25">
      <c r="A50" s="75" t="s">
        <v>281</v>
      </c>
      <c r="B50" s="167">
        <v>112.38</v>
      </c>
      <c r="C50" s="62"/>
      <c r="D50" s="59">
        <v>4190</v>
      </c>
      <c r="E50" s="54"/>
    </row>
    <row r="51" spans="1:5" ht="15.75" hidden="1" x14ac:dyDescent="0.25">
      <c r="A51" s="75" t="s">
        <v>272</v>
      </c>
      <c r="B51" s="11">
        <v>0</v>
      </c>
      <c r="C51" s="62"/>
      <c r="D51" s="59"/>
      <c r="E51" s="54"/>
    </row>
    <row r="52" spans="1:5" ht="15.75" hidden="1" x14ac:dyDescent="0.25">
      <c r="A52" s="75" t="s">
        <v>273</v>
      </c>
      <c r="B52" s="11">
        <f>B21*'[1]34тарифы'!D177</f>
        <v>0</v>
      </c>
      <c r="C52" s="62"/>
      <c r="D52" s="59">
        <v>105.14</v>
      </c>
      <c r="E52" s="54"/>
    </row>
    <row r="53" spans="1:5" ht="15.75" hidden="1" x14ac:dyDescent="0.25">
      <c r="A53" s="75" t="s">
        <v>274</v>
      </c>
      <c r="B53" s="11">
        <v>0</v>
      </c>
      <c r="C53" s="62">
        <v>0</v>
      </c>
      <c r="D53" s="59">
        <v>522.99</v>
      </c>
      <c r="E53" s="54"/>
    </row>
    <row r="54" spans="1:5" ht="15.75" hidden="1" x14ac:dyDescent="0.25">
      <c r="A54" s="75" t="s">
        <v>275</v>
      </c>
      <c r="B54" s="11">
        <v>0</v>
      </c>
      <c r="C54" s="62">
        <v>0</v>
      </c>
      <c r="D54" s="76">
        <v>695.13</v>
      </c>
      <c r="E54" s="54"/>
    </row>
    <row r="55" spans="1:5" ht="15.75" hidden="1" x14ac:dyDescent="0.25">
      <c r="A55" s="75" t="s">
        <v>276</v>
      </c>
      <c r="B55" s="11">
        <v>0</v>
      </c>
      <c r="C55" s="62"/>
      <c r="D55" s="76"/>
      <c r="E55" s="54"/>
    </row>
    <row r="56" spans="1:5" ht="15.75" hidden="1" x14ac:dyDescent="0.25">
      <c r="A56" s="75" t="s">
        <v>277</v>
      </c>
      <c r="B56" s="11">
        <v>0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312</v>
      </c>
      <c r="B57" s="11">
        <v>0</v>
      </c>
      <c r="C57" s="62">
        <v>0</v>
      </c>
      <c r="D57" s="59">
        <f>2300/1.18</f>
        <v>1949.1525423728815</v>
      </c>
      <c r="E57" s="54"/>
    </row>
    <row r="58" spans="1:5" ht="15.75" hidden="1" x14ac:dyDescent="0.25">
      <c r="A58" s="75" t="s">
        <v>314</v>
      </c>
      <c r="B58" s="11">
        <v>0</v>
      </c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</row>
    <row r="60" spans="1:5" ht="15.75" hidden="1" x14ac:dyDescent="0.25">
      <c r="A60" s="69" t="s">
        <v>279</v>
      </c>
      <c r="B60" s="11">
        <v>0</v>
      </c>
      <c r="C60" s="57"/>
      <c r="D60" s="59"/>
      <c r="E60" s="54"/>
    </row>
    <row r="61" spans="1:5" ht="15.75" hidden="1" x14ac:dyDescent="0.25">
      <c r="A61" s="69" t="s">
        <v>280</v>
      </c>
      <c r="B61" s="11">
        <v>0</v>
      </c>
      <c r="C61" s="62"/>
      <c r="D61" s="59">
        <v>41600</v>
      </c>
      <c r="E61" s="54"/>
    </row>
    <row r="62" spans="1:5" ht="15.75" hidden="1" x14ac:dyDescent="0.25">
      <c r="A62" s="69" t="s">
        <v>336</v>
      </c>
      <c r="B62" s="11">
        <v>0</v>
      </c>
      <c r="C62" s="62"/>
      <c r="D62" s="59">
        <v>0</v>
      </c>
      <c r="E62" s="54"/>
    </row>
    <row r="63" spans="1:5" ht="16.5" thickBot="1" x14ac:dyDescent="0.3">
      <c r="A63" s="69" t="s">
        <v>325</v>
      </c>
      <c r="B63" s="132">
        <v>15740.53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48</v>
      </c>
      <c r="D64" s="62">
        <v>2</v>
      </c>
      <c r="E64" s="54">
        <v>1</v>
      </c>
    </row>
    <row r="65" spans="1:4" s="55" customFormat="1" ht="16.5" hidden="1" thickBot="1" x14ac:dyDescent="0.3">
      <c r="A65" s="69" t="s">
        <v>284</v>
      </c>
      <c r="B65" s="132">
        <v>0</v>
      </c>
      <c r="C65" s="80">
        <v>48</v>
      </c>
      <c r="D65" s="73">
        <f>650/1.18</f>
        <v>550.84745762711873</v>
      </c>
    </row>
    <row r="66" spans="1:4" ht="16.5" thickBot="1" x14ac:dyDescent="0.3">
      <c r="A66" s="175" t="s">
        <v>285</v>
      </c>
      <c r="B66" s="121">
        <f>SUM(B67:B74)</f>
        <v>156167.29681475839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49718*1.04*1.1194*1.0952</f>
        <v>63390.726193433598</v>
      </c>
      <c r="C68" s="56">
        <f>46*B16</f>
        <v>63240.80000000001</v>
      </c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2785.9949999999999</v>
      </c>
      <c r="C70" s="60"/>
      <c r="D70" s="73"/>
    </row>
    <row r="71" spans="1:4" ht="15.75" x14ac:dyDescent="0.25">
      <c r="A71" s="74" t="s">
        <v>290</v>
      </c>
      <c r="B71" s="11">
        <f>5.06*B15</f>
        <v>10442.321999999998</v>
      </c>
      <c r="C71" s="81"/>
      <c r="D71" s="60"/>
    </row>
    <row r="72" spans="1:4" ht="15.75" x14ac:dyDescent="0.25">
      <c r="A72" s="74" t="s">
        <v>291</v>
      </c>
      <c r="B72" s="11">
        <f>17.68*B15</f>
        <v>36486.215999999993</v>
      </c>
      <c r="C72" s="73"/>
      <c r="D72" s="60"/>
    </row>
    <row r="73" spans="1:4" ht="15.75" x14ac:dyDescent="0.25">
      <c r="A73" s="25" t="s">
        <v>292</v>
      </c>
      <c r="B73" s="11">
        <f>3576*1.04*1.1194*1.0952</f>
        <v>4559.4198653951998</v>
      </c>
      <c r="C73" s="73"/>
      <c r="D73" s="60"/>
    </row>
    <row r="74" spans="1:4" ht="15.75" x14ac:dyDescent="0.25">
      <c r="A74" s="74" t="s">
        <v>293</v>
      </c>
      <c r="B74" s="11">
        <f>30198*1.04*1.1194*1.0952</f>
        <v>38502.617755929605</v>
      </c>
      <c r="C74" s="73"/>
      <c r="D74" s="60"/>
    </row>
    <row r="75" spans="1:4" ht="63" x14ac:dyDescent="0.25">
      <c r="A75" s="213" t="s">
        <v>326</v>
      </c>
      <c r="B75" s="121">
        <f>SUM(B76:B76)</f>
        <v>76877.496671810775</v>
      </c>
      <c r="C75" s="73"/>
      <c r="D75" s="60"/>
    </row>
    <row r="76" spans="1:4" s="55" customFormat="1" ht="15.75" x14ac:dyDescent="0.25">
      <c r="A76" s="74" t="s">
        <v>295</v>
      </c>
      <c r="B76" s="11">
        <f>'[1]34ОЭР'!D194*1.1194*1.0952</f>
        <v>76877.496671810775</v>
      </c>
      <c r="C76" s="73"/>
      <c r="D76" s="60"/>
    </row>
    <row r="77" spans="1:4" ht="15.75" x14ac:dyDescent="0.25">
      <c r="A77" s="175" t="s">
        <v>296</v>
      </c>
      <c r="B77" s="121">
        <f>SUM(B78:B81)</f>
        <v>67870.27920263588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'[1]34тарифы'!D170*B15*1.1194*1.0952</f>
        <v>54517.394187362246</v>
      </c>
      <c r="C78" s="63"/>
      <c r="D78" s="60"/>
    </row>
    <row r="79" spans="1:4" ht="16.5" hidden="1" thickBot="1" x14ac:dyDescent="0.3">
      <c r="A79" s="35" t="s">
        <v>298</v>
      </c>
      <c r="B79" s="11">
        <f>(B26/1.2)*30%</f>
        <v>0</v>
      </c>
      <c r="C79" s="65"/>
      <c r="D79" s="73"/>
    </row>
    <row r="80" spans="1:4" ht="15.75" x14ac:dyDescent="0.25">
      <c r="A80" s="83" t="s">
        <v>328</v>
      </c>
      <c r="B80" s="11">
        <f>4262.5+4511.05</f>
        <v>8773.5499999999993</v>
      </c>
      <c r="C80" s="81"/>
      <c r="D80" s="60"/>
    </row>
    <row r="81" spans="1:4" ht="15.75" x14ac:dyDescent="0.25">
      <c r="A81" s="83" t="s">
        <v>329</v>
      </c>
      <c r="B81" s="11">
        <f>'[1]34тарифы'!D173*B13*1.1194*1.01</f>
        <v>4579.3350152736339</v>
      </c>
      <c r="C81" s="73"/>
      <c r="D81" s="60"/>
    </row>
    <row r="82" spans="1:4" ht="15.75" x14ac:dyDescent="0.25">
      <c r="A82" s="214" t="s">
        <v>301</v>
      </c>
      <c r="B82" s="14">
        <f>B32+B42+B46+B66+B75+B77</f>
        <v>370150.25477143703</v>
      </c>
      <c r="C82" s="73"/>
      <c r="D82" s="60"/>
    </row>
    <row r="83" spans="1:4" s="68" customFormat="1" ht="15.75" x14ac:dyDescent="0.25">
      <c r="A83" s="215" t="s">
        <v>302</v>
      </c>
      <c r="B83" s="11">
        <f>B82*0.03</f>
        <v>11104.50764314311</v>
      </c>
      <c r="C83" s="73"/>
      <c r="D83" s="60"/>
    </row>
    <row r="84" spans="1:4" ht="15.75" x14ac:dyDescent="0.25">
      <c r="A84" s="216" t="s">
        <v>303</v>
      </c>
      <c r="B84" s="121">
        <f>B82+B83</f>
        <v>381254.76241458015</v>
      </c>
      <c r="C84" s="73"/>
      <c r="D84" s="60"/>
    </row>
    <row r="85" spans="1:4" s="55" customFormat="1" ht="16.5" thickBot="1" x14ac:dyDescent="0.3">
      <c r="A85" s="217" t="s">
        <v>304</v>
      </c>
      <c r="B85" s="142">
        <f>B84*0.2</f>
        <v>76250.952482916036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457505.71489749616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553374.67510250385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4A000000}">
    <filterColumn colId="1">
      <filters>
        <filter val="10 442,32"/>
        <filter val="11 104,51"/>
        <filter val="112,38"/>
        <filter val="12 450,73"/>
        <filter val="13 674,78"/>
        <filter val="15 740,53"/>
        <filter val="15 852,91"/>
        <filter val="156 167,30"/>
        <filter val="2 786,00"/>
        <filter val="22 673,82"/>
        <filter val="26 125,51"/>
        <filter val="27 256,77"/>
        <filter val="36 486,22"/>
        <filter val="370 150,25"/>
        <filter val="38 502,62"/>
        <filter val="381 254,76"/>
        <filter val="4 559,42"/>
        <filter val="4 579,34"/>
        <filter val="4 582,95"/>
        <filter val="457 505,71"/>
        <filter val="54 517,39"/>
        <filter val="553 374,68"/>
        <filter val="63 390,73"/>
        <filter val="67 870,28"/>
        <filter val="76 250,95"/>
        <filter val="76 877,50"/>
        <filter val="8 773,55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5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filterMode="1">
    <pageSetUpPr fitToPage="1"/>
  </sheetPr>
  <dimension ref="A1:G96"/>
  <sheetViews>
    <sheetView view="pageBreakPreview" topLeftCell="A76" zoomScale="87" zoomScaleNormal="100" zoomScaleSheetLayoutView="87" workbookViewId="0">
      <selection activeCell="A24" sqref="A24:B24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5" ht="16.5" customHeight="1" x14ac:dyDescent="0.25">
      <c r="A1" s="280" t="s">
        <v>224</v>
      </c>
      <c r="B1" s="280"/>
      <c r="C1" s="54"/>
      <c r="D1" s="54"/>
      <c r="E1" s="54"/>
    </row>
    <row r="2" spans="1:5" ht="16.5" x14ac:dyDescent="0.25">
      <c r="A2" s="281" t="s">
        <v>225</v>
      </c>
      <c r="B2" s="281"/>
      <c r="C2" s="54"/>
      <c r="D2" s="54"/>
      <c r="E2" s="54"/>
    </row>
    <row r="3" spans="1:5" ht="16.5" x14ac:dyDescent="0.25">
      <c r="A3" s="281" t="s">
        <v>226</v>
      </c>
      <c r="B3" s="281"/>
      <c r="C3" s="54"/>
      <c r="D3" s="54"/>
      <c r="E3" s="54"/>
    </row>
    <row r="4" spans="1:5" ht="15.75" x14ac:dyDescent="0.25">
      <c r="A4" s="201" t="s">
        <v>494</v>
      </c>
      <c r="B4" s="201"/>
      <c r="C4" s="54"/>
      <c r="D4" s="54"/>
      <c r="E4" s="54"/>
    </row>
    <row r="5" spans="1:5" ht="15.75" x14ac:dyDescent="0.25">
      <c r="A5" s="201" t="s">
        <v>169</v>
      </c>
      <c r="B5" s="201"/>
      <c r="C5" s="54"/>
      <c r="D5" s="54"/>
      <c r="E5" s="54"/>
    </row>
    <row r="6" spans="1:5" ht="5.25" customHeight="1" x14ac:dyDescent="0.25">
      <c r="A6" s="201"/>
      <c r="B6" s="4"/>
      <c r="C6" s="55"/>
      <c r="D6" s="54"/>
      <c r="E6" s="54"/>
    </row>
    <row r="7" spans="1:5" ht="16.5" thickBot="1" x14ac:dyDescent="0.3">
      <c r="A7" s="202"/>
      <c r="B7" s="4"/>
      <c r="C7" s="55"/>
      <c r="D7" s="54"/>
      <c r="E7" s="54"/>
    </row>
    <row r="8" spans="1:5" ht="15.75" customHeight="1" x14ac:dyDescent="0.25">
      <c r="A8" s="282" t="s">
        <v>227</v>
      </c>
      <c r="B8" s="273" t="s">
        <v>228</v>
      </c>
      <c r="C8" s="284" t="s">
        <v>229</v>
      </c>
      <c r="D8" s="275" t="s">
        <v>230</v>
      </c>
      <c r="E8" s="54" t="s">
        <v>223</v>
      </c>
    </row>
    <row r="9" spans="1:5" ht="16.5" thickBot="1" x14ac:dyDescent="0.3">
      <c r="A9" s="283"/>
      <c r="B9" s="274"/>
      <c r="C9" s="285"/>
      <c r="D9" s="276"/>
      <c r="E9" s="54"/>
    </row>
    <row r="10" spans="1:5" ht="16.5" thickBot="1" x14ac:dyDescent="0.3">
      <c r="A10" s="203" t="s">
        <v>231</v>
      </c>
      <c r="B10" s="204">
        <f>VLOOKUP(A5,мкд!S:T,2,FALSE)</f>
        <v>339679.45</v>
      </c>
      <c r="C10" s="205"/>
      <c r="D10" s="206"/>
      <c r="E10" s="54"/>
    </row>
    <row r="11" spans="1:5" ht="16.5" hidden="1" thickBot="1" x14ac:dyDescent="0.3">
      <c r="A11" s="207" t="s">
        <v>232</v>
      </c>
      <c r="B11" s="204"/>
      <c r="C11" s="206"/>
      <c r="D11" s="208"/>
      <c r="E11" s="54"/>
    </row>
    <row r="12" spans="1:5" ht="16.5" thickBot="1" x14ac:dyDescent="0.3">
      <c r="A12" s="209" t="s">
        <v>233</v>
      </c>
      <c r="B12" s="210"/>
      <c r="C12" s="56" t="s">
        <v>234</v>
      </c>
      <c r="D12" s="57" t="s">
        <v>234</v>
      </c>
      <c r="E12" s="54"/>
    </row>
    <row r="13" spans="1:5" ht="15.75" hidden="1" x14ac:dyDescent="0.25">
      <c r="A13" s="58" t="s">
        <v>235</v>
      </c>
      <c r="B13" s="11">
        <v>2059</v>
      </c>
      <c r="C13" s="57" t="s">
        <v>234</v>
      </c>
      <c r="D13" s="59" t="s">
        <v>234</v>
      </c>
      <c r="E13" s="54"/>
    </row>
    <row r="14" spans="1:5" ht="16.5" hidden="1" thickBot="1" x14ac:dyDescent="0.3">
      <c r="A14" s="58" t="s">
        <v>236</v>
      </c>
      <c r="B14" s="11">
        <v>0</v>
      </c>
      <c r="C14" s="60"/>
      <c r="D14" s="59"/>
      <c r="E14" s="54"/>
    </row>
    <row r="15" spans="1:5" ht="15.75" hidden="1" x14ac:dyDescent="0.25">
      <c r="A15" s="58" t="s">
        <v>237</v>
      </c>
      <c r="B15" s="11">
        <f>B13+B14</f>
        <v>2059</v>
      </c>
      <c r="C15" s="61"/>
      <c r="D15" s="62"/>
      <c r="E15" s="54"/>
    </row>
    <row r="16" spans="1:5" ht="16.5" hidden="1" thickBot="1" x14ac:dyDescent="0.3">
      <c r="A16" s="58" t="s">
        <v>238</v>
      </c>
      <c r="B16" s="11">
        <f>433.5+2192.7/3</f>
        <v>1164.4000000000001</v>
      </c>
      <c r="C16" s="63" t="s">
        <v>234</v>
      </c>
      <c r="D16" s="62" t="s">
        <v>234</v>
      </c>
      <c r="E16" s="54"/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0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832.3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129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452259.38</v>
      </c>
      <c r="C24" s="59"/>
      <c r="D24" s="62"/>
      <c r="E24" s="194">
        <v>16.2</v>
      </c>
      <c r="F24" s="195">
        <v>18.134279999999997</v>
      </c>
      <c r="G24" s="54"/>
    </row>
    <row r="25" spans="1:7" ht="16.5" thickBot="1" x14ac:dyDescent="0.3">
      <c r="A25" s="64" t="s">
        <v>318</v>
      </c>
      <c r="B25" s="14">
        <f>VLOOKUP(A5,мкд!W:Y,3,FALSE)</f>
        <v>441095.94999999995</v>
      </c>
      <c r="C25" s="63"/>
      <c r="D25" s="62"/>
      <c r="E25" s="54"/>
      <c r="F25" s="54"/>
      <c r="G25" s="54"/>
    </row>
    <row r="26" spans="1:7" ht="15.75" hidden="1" x14ac:dyDescent="0.25">
      <c r="A26" s="64" t="s">
        <v>319</v>
      </c>
      <c r="B26" s="14"/>
      <c r="C26" s="57"/>
      <c r="D26" s="59"/>
      <c r="E26" s="54"/>
      <c r="F26" s="54"/>
      <c r="G26" s="54"/>
    </row>
    <row r="27" spans="1:7" ht="16.5" hidden="1" thickBot="1" x14ac:dyDescent="0.3">
      <c r="A27" s="64" t="s">
        <v>248</v>
      </c>
      <c r="B27" s="14">
        <f>B26</f>
        <v>0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5781.36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55353.866097523191</v>
      </c>
      <c r="C32" s="59"/>
      <c r="D32" s="62"/>
      <c r="E32" s="67">
        <f>(B87-B26-B24)/1.2/1.03</f>
        <v>-98764.666645687961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f>18494.64*1.1194*1.0952</f>
        <v>22673.816097523199</v>
      </c>
      <c r="C33" s="63"/>
      <c r="D33" s="62">
        <v>19239.71</v>
      </c>
      <c r="E33" s="54"/>
      <c r="F33" s="54"/>
      <c r="G33" s="54"/>
    </row>
    <row r="34" spans="1:7" ht="15.75" hidden="1" x14ac:dyDescent="0.25">
      <c r="A34" s="69" t="s">
        <v>320</v>
      </c>
      <c r="B34" s="11"/>
      <c r="C34" s="57"/>
      <c r="D34" s="59">
        <v>0</v>
      </c>
      <c r="E34" s="54"/>
      <c r="F34" s="54"/>
      <c r="G34" s="54"/>
    </row>
    <row r="35" spans="1:7" ht="15.75" x14ac:dyDescent="0.25">
      <c r="A35" s="69" t="s">
        <v>256</v>
      </c>
      <c r="B35" s="11">
        <v>10007.69</v>
      </c>
      <c r="C35" s="62"/>
      <c r="D35" s="59">
        <v>0</v>
      </c>
      <c r="E35" s="54"/>
      <c r="F35" s="54"/>
      <c r="G35" s="54"/>
    </row>
    <row r="36" spans="1:7" ht="15.75" x14ac:dyDescent="0.25">
      <c r="A36" s="69" t="s">
        <v>255</v>
      </c>
      <c r="B36" s="11">
        <v>6318.2</v>
      </c>
      <c r="C36" s="62" t="s">
        <v>234</v>
      </c>
      <c r="D36" s="59">
        <v>0</v>
      </c>
      <c r="E36" s="54"/>
      <c r="F36" s="54"/>
      <c r="G36" s="54"/>
    </row>
    <row r="37" spans="1:7" ht="16.5" thickBot="1" x14ac:dyDescent="0.3">
      <c r="A37" s="69" t="s">
        <v>257</v>
      </c>
      <c r="B37" s="11">
        <v>16354.16</v>
      </c>
      <c r="C37" s="62"/>
      <c r="D37" s="59">
        <v>0</v>
      </c>
      <c r="E37" s="54"/>
      <c r="F37" s="54"/>
      <c r="G37" s="54"/>
    </row>
    <row r="38" spans="1:7" ht="16.5" hidden="1" thickBot="1" x14ac:dyDescent="0.3">
      <c r="A38" s="69" t="s">
        <v>258</v>
      </c>
      <c r="B38" s="11">
        <v>0</v>
      </c>
      <c r="C38" s="62"/>
      <c r="D38" s="59">
        <v>0</v>
      </c>
      <c r="E38" s="54"/>
      <c r="F38" s="54"/>
      <c r="G38" s="54"/>
    </row>
    <row r="39" spans="1:7" ht="16.5" hidden="1" thickBot="1" x14ac:dyDescent="0.3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6.5" hidden="1" thickBot="1" x14ac:dyDescent="0.3">
      <c r="A40" s="69" t="s">
        <v>310</v>
      </c>
      <c r="B40" s="11">
        <v>0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338</v>
      </c>
      <c r="B41" s="11">
        <v>0</v>
      </c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24591.543049246251</v>
      </c>
      <c r="C42" s="56"/>
      <c r="D42" s="62"/>
      <c r="E42" s="67"/>
      <c r="F42" s="67"/>
      <c r="G42" s="67"/>
    </row>
    <row r="43" spans="1:7" ht="15.75" x14ac:dyDescent="0.25">
      <c r="A43" s="69" t="s">
        <v>262</v>
      </c>
      <c r="B43" s="11">
        <v>7300.8</v>
      </c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3737.97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('[1]34тарифы'!D163*B15+130.81)*1.1194*1.0952</f>
        <v>13552.773049246251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15845.61</v>
      </c>
      <c r="C46" s="56"/>
      <c r="D46" s="62"/>
    </row>
    <row r="47" spans="1:7" ht="15.75" hidden="1" x14ac:dyDescent="0.25">
      <c r="A47" s="69" t="s">
        <v>324</v>
      </c>
      <c r="B47" s="11">
        <v>0</v>
      </c>
      <c r="C47" s="57"/>
      <c r="D47" s="59"/>
      <c r="E47" s="54" t="s">
        <v>267</v>
      </c>
      <c r="F47" s="54"/>
      <c r="G47" s="54"/>
    </row>
    <row r="48" spans="1:7" ht="15.75" hidden="1" x14ac:dyDescent="0.25">
      <c r="A48" s="69" t="s">
        <v>315</v>
      </c>
      <c r="B48" s="11">
        <v>0</v>
      </c>
      <c r="C48" s="62"/>
      <c r="D48" s="59"/>
      <c r="E48" s="54" t="s">
        <v>269</v>
      </c>
      <c r="F48" s="54"/>
      <c r="G48" s="54"/>
    </row>
    <row r="49" spans="1:5" ht="15.75" x14ac:dyDescent="0.25">
      <c r="A49" s="75" t="s">
        <v>281</v>
      </c>
      <c r="B49" s="11">
        <v>105.08</v>
      </c>
      <c r="C49" s="62"/>
      <c r="D49" s="59"/>
      <c r="E49" s="54"/>
    </row>
    <row r="50" spans="1:5" ht="15.75" hidden="1" x14ac:dyDescent="0.25">
      <c r="A50" s="75" t="s">
        <v>271</v>
      </c>
      <c r="B50" s="11">
        <v>0</v>
      </c>
      <c r="C50" s="62"/>
      <c r="D50" s="59">
        <v>4190</v>
      </c>
      <c r="E50" s="54"/>
    </row>
    <row r="51" spans="1:5" ht="15.75" hidden="1" x14ac:dyDescent="0.25">
      <c r="A51" s="75" t="s">
        <v>272</v>
      </c>
      <c r="B51" s="11">
        <v>0</v>
      </c>
      <c r="C51" s="62"/>
      <c r="D51" s="59"/>
      <c r="E51" s="54"/>
    </row>
    <row r="52" spans="1:5" ht="15.75" hidden="1" x14ac:dyDescent="0.25">
      <c r="A52" s="75" t="s">
        <v>273</v>
      </c>
      <c r="B52" s="11">
        <f>B21*'[1]34тарифы'!D177</f>
        <v>0</v>
      </c>
      <c r="C52" s="62"/>
      <c r="D52" s="59">
        <v>105.14</v>
      </c>
      <c r="E52" s="54"/>
    </row>
    <row r="53" spans="1:5" ht="15.75" hidden="1" x14ac:dyDescent="0.25">
      <c r="A53" s="75" t="s">
        <v>274</v>
      </c>
      <c r="B53" s="11">
        <v>0</v>
      </c>
      <c r="C53" s="62">
        <v>0</v>
      </c>
      <c r="D53" s="59">
        <v>522.99</v>
      </c>
      <c r="E53" s="54"/>
    </row>
    <row r="54" spans="1:5" ht="15.75" hidden="1" x14ac:dyDescent="0.25">
      <c r="A54" s="75" t="s">
        <v>275</v>
      </c>
      <c r="B54" s="11">
        <v>0</v>
      </c>
      <c r="C54" s="62">
        <v>0</v>
      </c>
      <c r="D54" s="76">
        <v>695.13</v>
      </c>
      <c r="E54" s="54"/>
    </row>
    <row r="55" spans="1:5" ht="15.75" hidden="1" x14ac:dyDescent="0.25">
      <c r="A55" s="75" t="s">
        <v>276</v>
      </c>
      <c r="B55" s="11">
        <v>0</v>
      </c>
      <c r="C55" s="62"/>
      <c r="D55" s="76"/>
      <c r="E55" s="54"/>
    </row>
    <row r="56" spans="1:5" ht="15.75" hidden="1" x14ac:dyDescent="0.25">
      <c r="A56" s="75" t="s">
        <v>277</v>
      </c>
      <c r="B56" s="11">
        <v>0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312</v>
      </c>
      <c r="B57" s="11">
        <v>0</v>
      </c>
      <c r="C57" s="62">
        <v>0</v>
      </c>
      <c r="D57" s="59">
        <f>2300/1.18</f>
        <v>1949.1525423728815</v>
      </c>
      <c r="E57" s="54"/>
    </row>
    <row r="58" spans="1:5" ht="15.75" hidden="1" x14ac:dyDescent="0.25">
      <c r="A58" s="75" t="s">
        <v>314</v>
      </c>
      <c r="B58" s="11">
        <v>0</v>
      </c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</row>
    <row r="60" spans="1:5" ht="15.75" hidden="1" x14ac:dyDescent="0.25">
      <c r="A60" s="69" t="s">
        <v>279</v>
      </c>
      <c r="B60" s="11">
        <v>0</v>
      </c>
      <c r="C60" s="57"/>
      <c r="D60" s="59"/>
      <c r="E60" s="54"/>
    </row>
    <row r="61" spans="1:5" ht="15.75" hidden="1" x14ac:dyDescent="0.25">
      <c r="A61" s="69" t="s">
        <v>280</v>
      </c>
      <c r="B61" s="11">
        <v>0</v>
      </c>
      <c r="C61" s="62"/>
      <c r="D61" s="59">
        <v>0</v>
      </c>
      <c r="E61" s="54"/>
    </row>
    <row r="62" spans="1:5" ht="15.75" hidden="1" x14ac:dyDescent="0.25">
      <c r="A62" s="69" t="s">
        <v>336</v>
      </c>
      <c r="B62" s="11">
        <v>0</v>
      </c>
      <c r="C62" s="62"/>
      <c r="D62" s="59">
        <v>0</v>
      </c>
      <c r="E62" s="54"/>
    </row>
    <row r="63" spans="1:5" ht="16.5" thickBot="1" x14ac:dyDescent="0.3">
      <c r="A63" s="69" t="s">
        <v>337</v>
      </c>
      <c r="B63" s="162">
        <v>15740.53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48</v>
      </c>
      <c r="D64" s="62">
        <v>2</v>
      </c>
      <c r="E64" s="54">
        <v>1</v>
      </c>
    </row>
    <row r="65" spans="1:4" s="55" customFormat="1" ht="16.5" hidden="1" thickBot="1" x14ac:dyDescent="0.3">
      <c r="A65" s="69" t="s">
        <v>284</v>
      </c>
      <c r="B65" s="132">
        <v>0</v>
      </c>
      <c r="C65" s="80"/>
      <c r="D65" s="73">
        <v>0</v>
      </c>
    </row>
    <row r="66" spans="1:4" ht="16.5" thickBot="1" x14ac:dyDescent="0.3">
      <c r="A66" s="175" t="s">
        <v>285</v>
      </c>
      <c r="B66" s="121">
        <f>SUM(B67:B74)</f>
        <v>146143.27713341106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42021.86*1.04*1.1194*1.0952</f>
        <v>53578.104939836667</v>
      </c>
      <c r="C68" s="56"/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2779.65</v>
      </c>
      <c r="C70" s="60"/>
      <c r="D70" s="73"/>
    </row>
    <row r="71" spans="1:4" ht="15.75" x14ac:dyDescent="0.25">
      <c r="A71" s="74" t="s">
        <v>290</v>
      </c>
      <c r="B71" s="11">
        <f>5.06*B15</f>
        <v>10418.539999999999</v>
      </c>
      <c r="C71" s="81"/>
      <c r="D71" s="60"/>
    </row>
    <row r="72" spans="1:4" ht="15.75" x14ac:dyDescent="0.25">
      <c r="A72" s="74" t="s">
        <v>291</v>
      </c>
      <c r="B72" s="11">
        <f>17.68*B15</f>
        <v>36403.120000000003</v>
      </c>
      <c r="C72" s="73"/>
      <c r="D72" s="60"/>
    </row>
    <row r="73" spans="1:4" ht="15.75" x14ac:dyDescent="0.25">
      <c r="A73" s="25" t="s">
        <v>292</v>
      </c>
      <c r="B73" s="11">
        <f>3568*1.04*1.1194*1.0952</f>
        <v>4549.2198209536</v>
      </c>
      <c r="C73" s="73"/>
      <c r="D73" s="60"/>
    </row>
    <row r="74" spans="1:4" ht="15.75" x14ac:dyDescent="0.25">
      <c r="A74" s="74" t="s">
        <v>293</v>
      </c>
      <c r="B74" s="11">
        <f>30129*1.04*1.1194*1.0952</f>
        <v>38414.642372620794</v>
      </c>
      <c r="C74" s="73"/>
      <c r="D74" s="60"/>
    </row>
    <row r="75" spans="1:4" ht="63" x14ac:dyDescent="0.25">
      <c r="A75" s="213" t="s">
        <v>326</v>
      </c>
      <c r="B75" s="121">
        <f>SUM(B76:B76)</f>
        <v>76702.411032251985</v>
      </c>
      <c r="C75" s="73"/>
      <c r="D75" s="60"/>
    </row>
    <row r="76" spans="1:4" s="55" customFormat="1" ht="15.75" x14ac:dyDescent="0.25">
      <c r="A76" s="74" t="s">
        <v>295</v>
      </c>
      <c r="B76" s="11">
        <f>'[1]34ОЭР'!D196*1.1194*1.0952</f>
        <v>76702.411032251985</v>
      </c>
      <c r="C76" s="73">
        <f>B76/B15</f>
        <v>37.252263735916458</v>
      </c>
      <c r="D76" s="60"/>
    </row>
    <row r="77" spans="1:4" ht="15.75" x14ac:dyDescent="0.25">
      <c r="A77" s="175" t="s">
        <v>296</v>
      </c>
      <c r="B77" s="121">
        <f>SUM(B78:B81)</f>
        <v>59626.996550084026</v>
      </c>
      <c r="C77" s="73"/>
      <c r="D77" s="60"/>
    </row>
    <row r="78" spans="1:4" ht="32.25" thickBot="1" x14ac:dyDescent="0.3">
      <c r="A78" s="82" t="s">
        <v>327</v>
      </c>
      <c r="B78" s="11">
        <f>35000*1.1194*1.0952</f>
        <v>42908.840799999998</v>
      </c>
      <c r="C78" s="63"/>
      <c r="D78" s="60"/>
    </row>
    <row r="79" spans="1:4" ht="16.5" hidden="1" thickBot="1" x14ac:dyDescent="0.3">
      <c r="A79" s="35" t="s">
        <v>298</v>
      </c>
      <c r="B79" s="11">
        <f>(B26/1.2)*30%</f>
        <v>0</v>
      </c>
      <c r="C79" s="65"/>
      <c r="D79" s="73"/>
    </row>
    <row r="80" spans="1:4" ht="15.75" x14ac:dyDescent="0.25">
      <c r="A80" s="83" t="s">
        <v>328</v>
      </c>
      <c r="B80" s="11">
        <f>6215.2+5934.05</f>
        <v>12149.25</v>
      </c>
      <c r="C80" s="81"/>
      <c r="D80" s="60"/>
    </row>
    <row r="81" spans="1:4" ht="15.75" x14ac:dyDescent="0.25">
      <c r="A81" s="83" t="s">
        <v>329</v>
      </c>
      <c r="B81" s="11">
        <f>'[1]34тарифы'!D173*B13*1.1194*1.01</f>
        <v>4568.9057500840299</v>
      </c>
      <c r="C81" s="73"/>
      <c r="D81" s="60"/>
    </row>
    <row r="82" spans="1:4" ht="15.75" x14ac:dyDescent="0.25">
      <c r="A82" s="214" t="s">
        <v>301</v>
      </c>
      <c r="B82" s="14">
        <f>B32+B42+B46+B66+B75+B77</f>
        <v>378263.7038625165</v>
      </c>
      <c r="C82" s="73"/>
      <c r="D82" s="60"/>
    </row>
    <row r="83" spans="1:4" s="68" customFormat="1" ht="15.75" x14ac:dyDescent="0.25">
      <c r="A83" s="215" t="s">
        <v>302</v>
      </c>
      <c r="B83" s="11">
        <f>B82*0.03</f>
        <v>11347.911115875495</v>
      </c>
      <c r="C83" s="73"/>
      <c r="D83" s="60"/>
    </row>
    <row r="84" spans="1:4" ht="15.75" x14ac:dyDescent="0.25">
      <c r="A84" s="216" t="s">
        <v>303</v>
      </c>
      <c r="B84" s="121">
        <f>B82+B83</f>
        <v>389611.61497839197</v>
      </c>
      <c r="C84" s="73"/>
      <c r="D84" s="60"/>
    </row>
    <row r="85" spans="1:4" s="55" customFormat="1" ht="16.5" thickBot="1" x14ac:dyDescent="0.3">
      <c r="A85" s="217" t="s">
        <v>304</v>
      </c>
      <c r="B85" s="142">
        <f>B84*0.2</f>
        <v>77922.322995678391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467533.93797407037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330186.25202592969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ht="15.75" hidden="1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x14ac:dyDescent="0.25">
      <c r="A94" s="220"/>
      <c r="B94" s="3"/>
      <c r="C94" s="54"/>
      <c r="D94" s="54"/>
    </row>
    <row r="95" spans="1:4" ht="15.75" hidden="1" x14ac:dyDescent="0.25">
      <c r="A95" s="279" t="s">
        <v>330</v>
      </c>
      <c r="B95" s="279"/>
      <c r="C95" s="221"/>
      <c r="D95" s="54"/>
    </row>
    <row r="96" spans="1:4" ht="15.75" x14ac:dyDescent="0.25">
      <c r="A96" s="54"/>
      <c r="B96" s="3"/>
      <c r="C96" s="54"/>
      <c r="D96" s="54"/>
    </row>
  </sheetData>
  <autoFilter ref="A31:G90" xr:uid="{00000000-0009-0000-0000-00004B000000}">
    <filterColumn colId="1">
      <filters>
        <filter val="10 007,69"/>
        <filter val="10 418,54"/>
        <filter val="105,08"/>
        <filter val="11 347,91"/>
        <filter val="12 149,25"/>
        <filter val="13 552,77"/>
        <filter val="146 143,28"/>
        <filter val="15 740,53"/>
        <filter val="15 845,61"/>
        <filter val="16 354,16"/>
        <filter val="2 779,65"/>
        <filter val="22 673,82"/>
        <filter val="24 591,54"/>
        <filter val="3 737,97"/>
        <filter val="330 186,25"/>
        <filter val="36 403,12"/>
        <filter val="378 263,70"/>
        <filter val="38 414,64"/>
        <filter val="389 611,61"/>
        <filter val="4 549,22"/>
        <filter val="4 568,91"/>
        <filter val="42 908,84"/>
        <filter val="467 533,94"/>
        <filter val="53 578,10"/>
        <filter val="55 353,87"/>
        <filter val="59 627,00"/>
        <filter val="6 318,20"/>
        <filter val="7 300,80"/>
        <filter val="76 702,41"/>
        <filter val="77 922,32"/>
      </filters>
    </filterColumn>
  </autoFilter>
  <mergeCells count="9">
    <mergeCell ref="D8:D9"/>
    <mergeCell ref="A92:B92"/>
    <mergeCell ref="A95:B95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5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filterMode="1">
    <pageSetUpPr fitToPage="1"/>
  </sheetPr>
  <dimension ref="A1:G95"/>
  <sheetViews>
    <sheetView view="pageBreakPreview" topLeftCell="A83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93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171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58945.919999999998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2051.9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0</v>
      </c>
      <c r="C14" s="60"/>
      <c r="D14" s="59"/>
    </row>
    <row r="15" spans="1:4" ht="15.75" hidden="1" x14ac:dyDescent="0.25">
      <c r="A15" s="58" t="s">
        <v>237</v>
      </c>
      <c r="B15" s="11">
        <f>B13+B14</f>
        <v>2051.9</v>
      </c>
      <c r="C15" s="61"/>
      <c r="D15" s="62"/>
    </row>
    <row r="16" spans="1:4" ht="16.5" hidden="1" thickBot="1" x14ac:dyDescent="0.3">
      <c r="A16" s="58" t="s">
        <v>238</v>
      </c>
      <c r="B16" s="11">
        <f>588.5+2391/3</f>
        <v>1385.5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0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825.9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114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430705.76</v>
      </c>
      <c r="C24" s="59"/>
      <c r="D24" s="62"/>
      <c r="E24" s="194">
        <v>15.48</v>
      </c>
      <c r="F24" s="195">
        <v>17.328312</v>
      </c>
      <c r="G24" s="54"/>
    </row>
    <row r="25" spans="1:7" ht="16.5" thickBot="1" x14ac:dyDescent="0.3">
      <c r="A25" s="64" t="s">
        <v>318</v>
      </c>
      <c r="B25" s="14">
        <f>VLOOKUP(A5,мкд!W:Y,3,FALSE)</f>
        <v>416961.29000000004</v>
      </c>
      <c r="C25" s="63"/>
      <c r="D25" s="62"/>
      <c r="E25" s="54"/>
      <c r="F25" s="54"/>
      <c r="G25" s="54"/>
    </row>
    <row r="26" spans="1:7" ht="15.75" hidden="1" x14ac:dyDescent="0.25">
      <c r="A26" s="64" t="s">
        <v>319</v>
      </c>
      <c r="B26" s="14"/>
      <c r="C26" s="57"/>
      <c r="D26" s="59"/>
      <c r="E26" s="54"/>
      <c r="F26" s="54"/>
      <c r="G26" s="54"/>
    </row>
    <row r="27" spans="1:7" ht="16.5" hidden="1" thickBot="1" x14ac:dyDescent="0.3">
      <c r="A27" s="64" t="s">
        <v>248</v>
      </c>
      <c r="B27" s="14">
        <f>B26</f>
        <v>0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7154.31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60731.9860975232</v>
      </c>
      <c r="C32" s="59"/>
      <c r="D32" s="62"/>
      <c r="E32" s="67">
        <f>(B86-B26-B24)/1.2/1.03</f>
        <v>150293.96792141444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f>18494.64*1.1194*1.0952</f>
        <v>22673.816097523199</v>
      </c>
      <c r="C33" s="63"/>
      <c r="D33" s="62">
        <v>20683.38</v>
      </c>
      <c r="E33" s="54"/>
      <c r="F33" s="54"/>
      <c r="G33" s="54"/>
    </row>
    <row r="34" spans="1:7" ht="15.75" hidden="1" x14ac:dyDescent="0.25">
      <c r="A34" s="69" t="s">
        <v>320</v>
      </c>
      <c r="B34" s="11">
        <v>0</v>
      </c>
      <c r="C34" s="57"/>
      <c r="D34" s="59">
        <v>0</v>
      </c>
      <c r="E34" s="54"/>
      <c r="F34" s="54"/>
      <c r="G34" s="54"/>
    </row>
    <row r="35" spans="1:7" ht="15.75" x14ac:dyDescent="0.25">
      <c r="A35" s="69" t="s">
        <v>256</v>
      </c>
      <c r="B35" s="11">
        <v>4896.13</v>
      </c>
      <c r="C35" s="62"/>
      <c r="D35" s="59">
        <v>0</v>
      </c>
      <c r="E35" s="54"/>
      <c r="F35" s="54"/>
      <c r="G35" s="54"/>
    </row>
    <row r="36" spans="1:7" ht="15.75" x14ac:dyDescent="0.25">
      <c r="A36" s="69" t="s">
        <v>255</v>
      </c>
      <c r="B36" s="11">
        <v>8380.23</v>
      </c>
      <c r="C36" s="62" t="s">
        <v>234</v>
      </c>
      <c r="D36" s="59">
        <v>0</v>
      </c>
      <c r="E36" s="54"/>
      <c r="F36" s="54"/>
      <c r="G36" s="54"/>
    </row>
    <row r="37" spans="1:7" ht="16.5" thickBot="1" x14ac:dyDescent="0.3">
      <c r="A37" s="69" t="s">
        <v>257</v>
      </c>
      <c r="B37" s="11">
        <v>24781.81</v>
      </c>
      <c r="C37" s="62"/>
      <c r="D37" s="59">
        <v>0</v>
      </c>
      <c r="E37" s="54"/>
      <c r="F37" s="54"/>
      <c r="G37" s="54"/>
    </row>
    <row r="38" spans="1:7" ht="16.5" hidden="1" thickBot="1" x14ac:dyDescent="0.3">
      <c r="A38" s="69" t="s">
        <v>339</v>
      </c>
      <c r="B38" s="11">
        <v>0</v>
      </c>
      <c r="C38" s="62"/>
      <c r="D38" s="59">
        <v>0</v>
      </c>
      <c r="E38" s="54"/>
      <c r="F38" s="54"/>
      <c r="G38" s="54"/>
    </row>
    <row r="39" spans="1:7" ht="32.25" hidden="1" thickBot="1" x14ac:dyDescent="0.3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6.5" hidden="1" thickBot="1" x14ac:dyDescent="0.3">
      <c r="A40" s="69" t="s">
        <v>310</v>
      </c>
      <c r="B40" s="11">
        <v>0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311</v>
      </c>
      <c r="B41" s="11">
        <v>0</v>
      </c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125177.81726557355</v>
      </c>
      <c r="C42" s="56"/>
      <c r="D42" s="62"/>
      <c r="E42" s="67"/>
      <c r="F42" s="67"/>
      <c r="G42" s="67"/>
    </row>
    <row r="43" spans="1:7" ht="15.75" hidden="1" x14ac:dyDescent="0.25">
      <c r="A43" s="69" t="s">
        <v>262</v>
      </c>
      <c r="B43" s="11"/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111281.11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('[1]34тарифы'!D163*B15+449.02)*1.1194*1.0952</f>
        <v>13896.707265573557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15003.85</v>
      </c>
      <c r="C46" s="56"/>
      <c r="D46" s="62"/>
    </row>
    <row r="47" spans="1:7" ht="15.75" hidden="1" x14ac:dyDescent="0.25">
      <c r="A47" s="69" t="s">
        <v>324</v>
      </c>
      <c r="B47" s="11">
        <v>0</v>
      </c>
      <c r="C47" s="57"/>
      <c r="D47" s="59"/>
      <c r="E47" s="54" t="s">
        <v>267</v>
      </c>
      <c r="F47" s="54"/>
      <c r="G47" s="54"/>
    </row>
    <row r="48" spans="1:7" ht="15.75" hidden="1" x14ac:dyDescent="0.25">
      <c r="A48" s="69" t="s">
        <v>315</v>
      </c>
      <c r="B48" s="11">
        <v>0</v>
      </c>
      <c r="C48" s="62"/>
      <c r="D48" s="59"/>
      <c r="E48" s="54" t="s">
        <v>269</v>
      </c>
      <c r="F48" s="54"/>
      <c r="G48" s="54"/>
    </row>
    <row r="49" spans="1:5" ht="15.75" x14ac:dyDescent="0.25">
      <c r="A49" s="75" t="s">
        <v>356</v>
      </c>
      <c r="B49" s="11">
        <f>142.12</f>
        <v>142.12</v>
      </c>
      <c r="C49" s="62"/>
      <c r="D49" s="59"/>
      <c r="E49" s="54"/>
    </row>
    <row r="50" spans="1:5" ht="15.75" hidden="1" x14ac:dyDescent="0.25">
      <c r="A50" s="75" t="s">
        <v>271</v>
      </c>
      <c r="B50" s="11">
        <v>0</v>
      </c>
      <c r="C50" s="62"/>
      <c r="D50" s="59">
        <v>4190</v>
      </c>
      <c r="E50" s="54"/>
    </row>
    <row r="51" spans="1:5" ht="15.75" hidden="1" x14ac:dyDescent="0.25">
      <c r="A51" s="75" t="s">
        <v>473</v>
      </c>
      <c r="B51" s="11">
        <v>0</v>
      </c>
      <c r="C51" s="62"/>
      <c r="D51" s="59"/>
      <c r="E51" s="54"/>
    </row>
    <row r="52" spans="1:5" ht="15.75" hidden="1" x14ac:dyDescent="0.25">
      <c r="A52" s="75" t="s">
        <v>273</v>
      </c>
      <c r="B52" s="11">
        <f>B21*'[1]34тарифы'!D177</f>
        <v>0</v>
      </c>
      <c r="C52" s="62"/>
      <c r="D52" s="59">
        <v>105.14</v>
      </c>
      <c r="E52" s="54"/>
    </row>
    <row r="53" spans="1:5" ht="15.75" hidden="1" x14ac:dyDescent="0.25">
      <c r="A53" s="75" t="s">
        <v>274</v>
      </c>
      <c r="B53" s="11">
        <v>0</v>
      </c>
      <c r="C53" s="62">
        <v>0</v>
      </c>
      <c r="D53" s="59">
        <v>522.99</v>
      </c>
      <c r="E53" s="54"/>
    </row>
    <row r="54" spans="1:5" ht="15.75" hidden="1" x14ac:dyDescent="0.25">
      <c r="A54" s="75" t="s">
        <v>275</v>
      </c>
      <c r="B54" s="11">
        <v>0</v>
      </c>
      <c r="C54" s="62">
        <v>0</v>
      </c>
      <c r="D54" s="76">
        <v>695.13</v>
      </c>
      <c r="E54" s="54"/>
    </row>
    <row r="55" spans="1:5" ht="15.75" hidden="1" x14ac:dyDescent="0.25">
      <c r="A55" s="75" t="s">
        <v>276</v>
      </c>
      <c r="B55" s="11">
        <v>0</v>
      </c>
      <c r="C55" s="62"/>
      <c r="D55" s="76"/>
      <c r="E55" s="54"/>
    </row>
    <row r="56" spans="1:5" ht="15.75" hidden="1" x14ac:dyDescent="0.25">
      <c r="A56" s="75" t="s">
        <v>277</v>
      </c>
      <c r="B56" s="11">
        <v>0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312</v>
      </c>
      <c r="B57" s="11">
        <v>0</v>
      </c>
      <c r="C57" s="62">
        <v>0</v>
      </c>
      <c r="D57" s="59">
        <f>2300/1.18</f>
        <v>1949.1525423728815</v>
      </c>
      <c r="E57" s="54"/>
    </row>
    <row r="58" spans="1:5" ht="15.75" hidden="1" x14ac:dyDescent="0.25">
      <c r="A58" s="75" t="s">
        <v>314</v>
      </c>
      <c r="B58" s="11">
        <v>0</v>
      </c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</row>
    <row r="60" spans="1:5" ht="15.75" hidden="1" x14ac:dyDescent="0.25">
      <c r="A60" s="69" t="s">
        <v>279</v>
      </c>
      <c r="B60" s="11">
        <v>0</v>
      </c>
      <c r="C60" s="57"/>
      <c r="D60" s="59"/>
      <c r="E60" s="54"/>
    </row>
    <row r="61" spans="1:5" ht="15.75" hidden="1" x14ac:dyDescent="0.25">
      <c r="A61" s="69" t="s">
        <v>280</v>
      </c>
      <c r="B61" s="11">
        <v>0</v>
      </c>
      <c r="C61" s="62"/>
      <c r="D61" s="59">
        <v>0</v>
      </c>
      <c r="E61" s="54"/>
    </row>
    <row r="62" spans="1:5" ht="15.75" hidden="1" x14ac:dyDescent="0.25">
      <c r="A62" s="69" t="s">
        <v>336</v>
      </c>
      <c r="B62" s="11">
        <v>0</v>
      </c>
      <c r="C62" s="62"/>
      <c r="D62" s="59">
        <v>0</v>
      </c>
      <c r="E62" s="54"/>
    </row>
    <row r="63" spans="1:5" ht="16.5" thickBot="1" x14ac:dyDescent="0.3">
      <c r="A63" s="69" t="s">
        <v>337</v>
      </c>
      <c r="B63" s="132">
        <f>14861.73</f>
        <v>14861.73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48</v>
      </c>
      <c r="D64" s="62">
        <v>2</v>
      </c>
      <c r="E64" s="54">
        <v>1</v>
      </c>
    </row>
    <row r="65" spans="1:4" s="55" customFormat="1" ht="16.5" hidden="1" thickBot="1" x14ac:dyDescent="0.3">
      <c r="A65" s="69" t="s">
        <v>284</v>
      </c>
      <c r="B65" s="132">
        <v>0</v>
      </c>
      <c r="C65" s="80"/>
      <c r="D65" s="73">
        <v>0</v>
      </c>
    </row>
    <row r="66" spans="1:4" ht="16.5" thickBot="1" x14ac:dyDescent="0.3">
      <c r="A66" s="175" t="s">
        <v>285</v>
      </c>
      <c r="B66" s="121">
        <f>SUM(B67:B74)</f>
        <v>156097.04449719872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50077.86*1.04*1.1194*1.0952</f>
        <v>63849.549692527871</v>
      </c>
      <c r="C68" s="56"/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2770.0650000000005</v>
      </c>
      <c r="C70" s="60"/>
      <c r="D70" s="73"/>
    </row>
    <row r="71" spans="1:4" ht="15.75" x14ac:dyDescent="0.25">
      <c r="A71" s="74" t="s">
        <v>290</v>
      </c>
      <c r="B71" s="11">
        <f>5.06*B15</f>
        <v>10382.614</v>
      </c>
      <c r="C71" s="81"/>
      <c r="D71" s="60"/>
    </row>
    <row r="72" spans="1:4" ht="15.75" x14ac:dyDescent="0.25">
      <c r="A72" s="74" t="s">
        <v>291</v>
      </c>
      <c r="B72" s="11">
        <f>17.68*B15</f>
        <v>36277.592000000004</v>
      </c>
      <c r="C72" s="73"/>
      <c r="D72" s="60"/>
    </row>
    <row r="73" spans="1:4" ht="15.75" x14ac:dyDescent="0.25">
      <c r="A73" s="25" t="s">
        <v>292</v>
      </c>
      <c r="B73" s="11">
        <f>3556.02*1.04*1.1194*1.0952</f>
        <v>4533.9452544023043</v>
      </c>
      <c r="C73" s="73"/>
      <c r="D73" s="60"/>
    </row>
    <row r="74" spans="1:4" ht="15.75" x14ac:dyDescent="0.25">
      <c r="A74" s="74" t="s">
        <v>293</v>
      </c>
      <c r="B74" s="11">
        <f>30025.97*1.04*1.1194*1.0952</f>
        <v>38283.278550268544</v>
      </c>
      <c r="C74" s="73"/>
      <c r="D74" s="60"/>
    </row>
    <row r="75" spans="1:4" ht="63" x14ac:dyDescent="0.25">
      <c r="A75" s="213" t="s">
        <v>326</v>
      </c>
      <c r="B75" s="121">
        <f>SUM(B76:B76)</f>
        <v>76437.919959726976</v>
      </c>
      <c r="C75" s="73"/>
      <c r="D75" s="60"/>
    </row>
    <row r="76" spans="1:4" s="55" customFormat="1" ht="15.75" x14ac:dyDescent="0.25">
      <c r="A76" s="74" t="s">
        <v>295</v>
      </c>
      <c r="B76" s="11">
        <f>'[1]34ОЭР'!D198*1.1194*1.0952</f>
        <v>76437.919959726976</v>
      </c>
      <c r="C76" s="73">
        <f>B76/B15</f>
        <v>37.252263735916458</v>
      </c>
      <c r="D76" s="60"/>
    </row>
    <row r="77" spans="1:4" ht="15.75" x14ac:dyDescent="0.25">
      <c r="A77" s="175" t="s">
        <v>296</v>
      </c>
      <c r="B77" s="121">
        <f>SUM(B78:B81)</f>
        <v>65312.793467087766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</f>
        <v>49493.854983321304</v>
      </c>
      <c r="C78" s="63"/>
      <c r="D78" s="60"/>
    </row>
    <row r="79" spans="1:4" ht="16.5" hidden="1" thickBot="1" x14ac:dyDescent="0.3">
      <c r="A79" s="35" t="s">
        <v>298</v>
      </c>
      <c r="B79" s="11">
        <f>(B26/1.2)*30%</f>
        <v>0</v>
      </c>
      <c r="C79" s="65"/>
      <c r="D79" s="73"/>
    </row>
    <row r="80" spans="1:4" ht="15.75" x14ac:dyDescent="0.25">
      <c r="A80" s="83" t="s">
        <v>328</v>
      </c>
      <c r="B80" s="11">
        <f>6215.18+4666.52</f>
        <v>10881.7</v>
      </c>
      <c r="C80" s="81"/>
      <c r="D80" s="60"/>
    </row>
    <row r="81" spans="1:4" ht="15.75" x14ac:dyDescent="0.25">
      <c r="A81" s="83" t="s">
        <v>329</v>
      </c>
      <c r="B81" s="11">
        <f>'[1]34тарифы'!D173*B13*1.1194*1.0952</f>
        <v>4937.2384837664622</v>
      </c>
      <c r="C81" s="73"/>
      <c r="D81" s="60"/>
    </row>
    <row r="82" spans="1:4" ht="15.75" x14ac:dyDescent="0.25">
      <c r="A82" s="214" t="s">
        <v>301</v>
      </c>
      <c r="B82" s="14">
        <f>B32+B42+B46+B66+B75+B77</f>
        <v>498761.41128711024</v>
      </c>
      <c r="C82" s="73"/>
      <c r="D82" s="60"/>
    </row>
    <row r="83" spans="1:4" s="68" customFormat="1" ht="15.75" x14ac:dyDescent="0.25">
      <c r="A83" s="215" t="s">
        <v>302</v>
      </c>
      <c r="B83" s="11">
        <f>B82*0.03</f>
        <v>14962.842338613307</v>
      </c>
      <c r="C83" s="73"/>
      <c r="D83" s="60"/>
    </row>
    <row r="84" spans="1:4" ht="15.75" x14ac:dyDescent="0.25">
      <c r="A84" s="216" t="s">
        <v>303</v>
      </c>
      <c r="B84" s="121">
        <f>B82+B83</f>
        <v>513724.25362572353</v>
      </c>
      <c r="C84" s="73"/>
      <c r="D84" s="60"/>
    </row>
    <row r="85" spans="1:4" s="55" customFormat="1" ht="16.5" thickBot="1" x14ac:dyDescent="0.3">
      <c r="A85" s="217" t="s">
        <v>304</v>
      </c>
      <c r="B85" s="142">
        <f>B84*0.2</f>
        <v>102744.85072514472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616469.10435086826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-119663.11435086827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4C000000}">
    <filterColumn colId="1">
      <filters>
        <filter val="10 382,61"/>
        <filter val="10 881,70"/>
        <filter val="102 744,85"/>
        <filter val="111 281,11"/>
        <filter val="-119 663,11"/>
        <filter val="125 177,82"/>
        <filter val="13 896,71"/>
        <filter val="14 861,73"/>
        <filter val="14 962,84"/>
        <filter val="142,12"/>
        <filter val="15 003,85"/>
        <filter val="156 097,04"/>
        <filter val="2 770,07"/>
        <filter val="22 673,82"/>
        <filter val="24 781,81"/>
        <filter val="36 277,59"/>
        <filter val="38 283,28"/>
        <filter val="4 533,95"/>
        <filter val="4 896,13"/>
        <filter val="4 937,24"/>
        <filter val="49 493,85"/>
        <filter val="498 761,41"/>
        <filter val="513 724,25"/>
        <filter val="60 731,99"/>
        <filter val="616 469,10"/>
        <filter val="63 849,55"/>
        <filter val="65 312,79"/>
        <filter val="76 437,92"/>
        <filter val="8 380,23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5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filterMode="1">
    <pageSetUpPr fitToPage="1"/>
  </sheetPr>
  <dimension ref="A1:G94"/>
  <sheetViews>
    <sheetView view="pageBreakPreview" topLeftCell="A59" zoomScale="80" zoomScaleNormal="100" zoomScaleSheetLayoutView="80" workbookViewId="0">
      <selection activeCell="A24" sqref="A24:B24"/>
    </sheetView>
  </sheetViews>
  <sheetFormatPr defaultRowHeight="15.75" x14ac:dyDescent="0.25"/>
  <cols>
    <col min="1" max="1" width="91.5703125" style="54" customWidth="1"/>
    <col min="2" max="2" width="15" style="3" customWidth="1"/>
    <col min="3" max="4" width="13.85546875" style="54" customWidth="1"/>
    <col min="5" max="5" width="14.140625" style="54" customWidth="1"/>
    <col min="6" max="6" width="11.140625" style="54" customWidth="1"/>
    <col min="7" max="7" width="12.42578125" style="54" bestFit="1" customWidth="1"/>
    <col min="8" max="16384" width="9.140625" style="54"/>
  </cols>
  <sheetData>
    <row r="1" spans="1:4" ht="16.5" customHeight="1" x14ac:dyDescent="0.25">
      <c r="A1" s="269" t="s">
        <v>224</v>
      </c>
      <c r="B1" s="269"/>
    </row>
    <row r="2" spans="1:4" ht="16.5" x14ac:dyDescent="0.25">
      <c r="A2" s="270" t="s">
        <v>225</v>
      </c>
      <c r="B2" s="270"/>
    </row>
    <row r="3" spans="1:4" ht="16.5" x14ac:dyDescent="0.25">
      <c r="A3" s="270" t="s">
        <v>226</v>
      </c>
      <c r="B3" s="270"/>
    </row>
    <row r="4" spans="1:4" s="3" customFormat="1" x14ac:dyDescent="0.25">
      <c r="A4" s="184" t="s">
        <v>494</v>
      </c>
      <c r="B4" s="184"/>
    </row>
    <row r="5" spans="1:4" x14ac:dyDescent="0.25">
      <c r="A5" s="184" t="s">
        <v>187</v>
      </c>
      <c r="B5" s="184"/>
    </row>
    <row r="6" spans="1:4" x14ac:dyDescent="0.25">
      <c r="A6" s="184"/>
      <c r="B6" s="4"/>
      <c r="C6" s="55"/>
    </row>
    <row r="7" spans="1:4" s="3" customFormat="1" ht="16.5" thickBot="1" x14ac:dyDescent="0.3">
      <c r="A7" s="186"/>
      <c r="B7" s="4"/>
      <c r="C7" s="4"/>
    </row>
    <row r="8" spans="1:4" x14ac:dyDescent="0.25">
      <c r="A8" s="271" t="s">
        <v>227</v>
      </c>
      <c r="B8" s="273" t="s">
        <v>228</v>
      </c>
      <c r="C8" s="265" t="s">
        <v>229</v>
      </c>
      <c r="D8" s="265" t="s">
        <v>230</v>
      </c>
    </row>
    <row r="9" spans="1:4" ht="16.5" thickBot="1" x14ac:dyDescent="0.3">
      <c r="A9" s="272"/>
      <c r="B9" s="274"/>
      <c r="C9" s="266"/>
      <c r="D9" s="266"/>
    </row>
    <row r="10" spans="1:4" ht="16.5" thickBot="1" x14ac:dyDescent="0.3">
      <c r="A10" s="187" t="s">
        <v>231</v>
      </c>
      <c r="B10" s="223">
        <f>VLOOKUP(A5,мкд!S:T,2,FALSE)</f>
        <v>1299337.73</v>
      </c>
      <c r="C10" s="189"/>
      <c r="D10" s="189"/>
    </row>
    <row r="11" spans="1:4" ht="16.5" hidden="1" thickBot="1" x14ac:dyDescent="0.3">
      <c r="A11" s="190" t="s">
        <v>232</v>
      </c>
      <c r="B11" s="224"/>
      <c r="C11" s="191"/>
      <c r="D11" s="191"/>
    </row>
    <row r="12" spans="1:4" x14ac:dyDescent="0.25">
      <c r="A12" s="192" t="s">
        <v>233</v>
      </c>
      <c r="B12" s="193"/>
      <c r="C12" s="5" t="s">
        <v>234</v>
      </c>
      <c r="D12" s="6" t="s">
        <v>234</v>
      </c>
    </row>
    <row r="13" spans="1:4" s="3" customFormat="1" hidden="1" x14ac:dyDescent="0.25">
      <c r="A13" s="7" t="s">
        <v>235</v>
      </c>
      <c r="B13" s="11">
        <v>14619.3</v>
      </c>
      <c r="C13" s="9" t="s">
        <v>234</v>
      </c>
      <c r="D13" s="10" t="s">
        <v>234</v>
      </c>
    </row>
    <row r="14" spans="1:4" s="3" customFormat="1" hidden="1" x14ac:dyDescent="0.25">
      <c r="A14" s="7" t="s">
        <v>236</v>
      </c>
      <c r="B14" s="11">
        <v>158.6</v>
      </c>
      <c r="C14" s="9"/>
      <c r="D14" s="10"/>
    </row>
    <row r="15" spans="1:4" s="3" customFormat="1" hidden="1" x14ac:dyDescent="0.25">
      <c r="A15" s="7" t="s">
        <v>237</v>
      </c>
      <c r="B15" s="11">
        <f>B13+B14</f>
        <v>14777.9</v>
      </c>
      <c r="C15" s="9"/>
      <c r="D15" s="10"/>
    </row>
    <row r="16" spans="1:4" s="3" customFormat="1" hidden="1" x14ac:dyDescent="0.25">
      <c r="A16" s="7" t="s">
        <v>238</v>
      </c>
      <c r="B16" s="11">
        <f>3638.8+5104/3</f>
        <v>5340.1333333333332</v>
      </c>
      <c r="C16" s="9" t="s">
        <v>234</v>
      </c>
      <c r="D16" s="10" t="s">
        <v>234</v>
      </c>
    </row>
    <row r="17" spans="1:7" s="156" customFormat="1" hidden="1" x14ac:dyDescent="0.25">
      <c r="A17" s="7" t="s">
        <v>239</v>
      </c>
      <c r="B17" s="11">
        <v>0</v>
      </c>
      <c r="C17" s="158" t="s">
        <v>234</v>
      </c>
      <c r="D17" s="155" t="s">
        <v>234</v>
      </c>
    </row>
    <row r="18" spans="1:7" s="3" customFormat="1" hidden="1" x14ac:dyDescent="0.25">
      <c r="A18" s="7" t="s">
        <v>240</v>
      </c>
      <c r="B18" s="11">
        <v>1786</v>
      </c>
      <c r="C18" s="9" t="s">
        <v>234</v>
      </c>
      <c r="D18" s="10" t="s">
        <v>234</v>
      </c>
    </row>
    <row r="19" spans="1:7" s="3" customFormat="1" hidden="1" x14ac:dyDescent="0.25">
      <c r="A19" s="7" t="s">
        <v>241</v>
      </c>
      <c r="B19" s="11">
        <v>0</v>
      </c>
      <c r="C19" s="9" t="s">
        <v>234</v>
      </c>
      <c r="D19" s="10" t="s">
        <v>234</v>
      </c>
    </row>
    <row r="20" spans="1:7" s="3" customFormat="1" hidden="1" x14ac:dyDescent="0.25">
      <c r="A20" s="7" t="s">
        <v>242</v>
      </c>
      <c r="B20" s="11">
        <v>2663</v>
      </c>
      <c r="C20" s="9"/>
      <c r="D20" s="10"/>
    </row>
    <row r="21" spans="1:7" s="3" customFormat="1" hidden="1" x14ac:dyDescent="0.25">
      <c r="A21" s="7" t="s">
        <v>243</v>
      </c>
      <c r="B21" s="11">
        <v>7</v>
      </c>
      <c r="C21" s="9" t="s">
        <v>234</v>
      </c>
      <c r="D21" s="10" t="s">
        <v>234</v>
      </c>
    </row>
    <row r="22" spans="1:7" s="3" customFormat="1" hidden="1" x14ac:dyDescent="0.25">
      <c r="A22" s="7" t="s">
        <v>244</v>
      </c>
      <c r="B22" s="11">
        <v>719</v>
      </c>
      <c r="C22" s="9"/>
      <c r="D22" s="10"/>
    </row>
    <row r="23" spans="1:7" x14ac:dyDescent="0.25">
      <c r="A23" s="7"/>
      <c r="B23" s="11"/>
      <c r="C23" s="9"/>
      <c r="D23" s="10"/>
      <c r="E23" s="54">
        <v>10</v>
      </c>
      <c r="F23" s="54">
        <v>2</v>
      </c>
    </row>
    <row r="24" spans="1:7" x14ac:dyDescent="0.25">
      <c r="A24" s="257" t="s">
        <v>245</v>
      </c>
      <c r="B24" s="255">
        <f>VLOOKUP(A5,мкд!W:X,2,FALSE)</f>
        <v>3203301.7199999997</v>
      </c>
      <c r="C24" s="9"/>
      <c r="D24" s="10"/>
      <c r="E24" s="194">
        <v>16.489999999999998</v>
      </c>
      <c r="F24" s="195">
        <v>18.458905999999999</v>
      </c>
    </row>
    <row r="25" spans="1:7" x14ac:dyDescent="0.25">
      <c r="A25" s="12" t="s">
        <v>246</v>
      </c>
      <c r="B25" s="14">
        <f>VLOOKUP(A5,мкд!W:Y,3,FALSE)</f>
        <v>3101386.41</v>
      </c>
      <c r="C25" s="9"/>
      <c r="D25" s="10"/>
    </row>
    <row r="26" spans="1:7" x14ac:dyDescent="0.25">
      <c r="A26" s="12" t="s">
        <v>247</v>
      </c>
      <c r="B26" s="14">
        <v>34401.839999999997</v>
      </c>
      <c r="C26" s="9"/>
      <c r="D26" s="10"/>
    </row>
    <row r="27" spans="1:7" x14ac:dyDescent="0.25">
      <c r="A27" s="12" t="s">
        <v>248</v>
      </c>
      <c r="B27" s="161">
        <v>37415.050000000003</v>
      </c>
      <c r="C27" s="9"/>
      <c r="D27" s="10"/>
    </row>
    <row r="28" spans="1:7" x14ac:dyDescent="0.25">
      <c r="A28" s="12" t="s">
        <v>454</v>
      </c>
      <c r="B28" s="14">
        <v>13978.59</v>
      </c>
      <c r="C28" s="9"/>
      <c r="D28" s="10"/>
      <c r="E28" s="54">
        <v>39.200000000000003</v>
      </c>
    </row>
    <row r="29" spans="1:7" x14ac:dyDescent="0.25">
      <c r="A29" s="12" t="s">
        <v>367</v>
      </c>
      <c r="B29" s="14"/>
      <c r="C29" s="9"/>
      <c r="D29" s="10"/>
    </row>
    <row r="30" spans="1:7" x14ac:dyDescent="0.25">
      <c r="A30" s="196"/>
      <c r="B30" s="11"/>
      <c r="C30" s="9"/>
      <c r="D30" s="10"/>
    </row>
    <row r="31" spans="1:7" x14ac:dyDescent="0.25">
      <c r="A31" s="197" t="s">
        <v>251</v>
      </c>
      <c r="B31" s="11"/>
      <c r="C31" s="9"/>
      <c r="D31" s="10"/>
    </row>
    <row r="32" spans="1:7" s="68" customFormat="1" ht="31.5" x14ac:dyDescent="0.25">
      <c r="A32" s="15" t="s">
        <v>252</v>
      </c>
      <c r="B32" s="121">
        <f>SUM(B33:B41)</f>
        <v>451318.34</v>
      </c>
      <c r="C32" s="9"/>
      <c r="D32" s="10"/>
      <c r="E32" s="67">
        <f>(B24-B86)/1.2/1.03</f>
        <v>-526302.75413911557</v>
      </c>
      <c r="F32" s="67" t="e">
        <f>(#REF!-#REF!)/1.2/1.03</f>
        <v>#REF!</v>
      </c>
      <c r="G32" s="67" t="e">
        <f>(#REF!-#REF!)/1.2/1.03</f>
        <v>#REF!</v>
      </c>
    </row>
    <row r="33" spans="1:7" x14ac:dyDescent="0.25">
      <c r="A33" s="19" t="s">
        <v>253</v>
      </c>
      <c r="B33" s="11">
        <v>224405.91999999998</v>
      </c>
      <c r="C33" s="9"/>
      <c r="D33" s="10">
        <v>0</v>
      </c>
      <c r="E33" s="54">
        <v>146</v>
      </c>
    </row>
    <row r="34" spans="1:7" hidden="1" x14ac:dyDescent="0.25">
      <c r="A34" s="19" t="s">
        <v>254</v>
      </c>
      <c r="B34" s="11"/>
      <c r="C34" s="9"/>
      <c r="D34" s="10">
        <v>0</v>
      </c>
      <c r="E34" s="54">
        <v>15</v>
      </c>
    </row>
    <row r="35" spans="1:7" x14ac:dyDescent="0.25">
      <c r="A35" s="19" t="s">
        <v>255</v>
      </c>
      <c r="B35" s="11">
        <v>161991.34</v>
      </c>
      <c r="C35" s="9"/>
      <c r="D35" s="10">
        <v>0</v>
      </c>
      <c r="E35" s="54">
        <v>144</v>
      </c>
    </row>
    <row r="36" spans="1:7" hidden="1" x14ac:dyDescent="0.25">
      <c r="A36" s="19" t="s">
        <v>358</v>
      </c>
      <c r="B36" s="11">
        <v>0</v>
      </c>
      <c r="C36" s="9" t="s">
        <v>234</v>
      </c>
      <c r="D36" s="10">
        <v>0</v>
      </c>
    </row>
    <row r="37" spans="1:7" x14ac:dyDescent="0.25">
      <c r="A37" s="19" t="s">
        <v>256</v>
      </c>
      <c r="B37" s="11">
        <v>51822.71</v>
      </c>
      <c r="C37" s="9"/>
      <c r="D37" s="10">
        <v>0</v>
      </c>
      <c r="E37" s="54">
        <v>21</v>
      </c>
    </row>
    <row r="38" spans="1:7" hidden="1" x14ac:dyDescent="0.25">
      <c r="A38" s="19" t="s">
        <v>357</v>
      </c>
      <c r="B38" s="98"/>
      <c r="C38" s="9"/>
      <c r="D38" s="10">
        <v>0</v>
      </c>
    </row>
    <row r="39" spans="1:7" hidden="1" x14ac:dyDescent="0.25">
      <c r="A39" s="19" t="s">
        <v>259</v>
      </c>
      <c r="B39" s="98">
        <v>0</v>
      </c>
      <c r="C39" s="9"/>
      <c r="D39" s="10">
        <v>0</v>
      </c>
    </row>
    <row r="40" spans="1:7" hidden="1" x14ac:dyDescent="0.25">
      <c r="A40" s="19" t="s">
        <v>335</v>
      </c>
      <c r="B40" s="98"/>
      <c r="C40" s="9"/>
      <c r="D40" s="10"/>
    </row>
    <row r="41" spans="1:7" x14ac:dyDescent="0.25">
      <c r="A41" s="19" t="s">
        <v>257</v>
      </c>
      <c r="B41" s="11">
        <v>13098.369999999999</v>
      </c>
      <c r="C41" s="9"/>
      <c r="D41" s="10"/>
      <c r="E41" s="54">
        <v>11</v>
      </c>
    </row>
    <row r="42" spans="1:7" s="68" customFormat="1" ht="47.25" x14ac:dyDescent="0.25">
      <c r="A42" s="15" t="s">
        <v>261</v>
      </c>
      <c r="B42" s="121">
        <f>SUM(B43:B45)</f>
        <v>219960.22004000004</v>
      </c>
      <c r="C42" s="9"/>
      <c r="D42" s="10"/>
      <c r="E42" s="67"/>
      <c r="F42" s="67"/>
      <c r="G42" s="67"/>
    </row>
    <row r="43" spans="1:7" x14ac:dyDescent="0.25">
      <c r="A43" s="19" t="s">
        <v>262</v>
      </c>
      <c r="B43" s="11">
        <v>12681.1</v>
      </c>
      <c r="C43" s="23"/>
      <c r="D43" s="24"/>
      <c r="E43" s="54">
        <v>24.9</v>
      </c>
    </row>
    <row r="44" spans="1:7" x14ac:dyDescent="0.25">
      <c r="A44" s="19" t="s">
        <v>263</v>
      </c>
      <c r="B44" s="11">
        <v>152917.28000000003</v>
      </c>
      <c r="C44" s="23"/>
      <c r="D44" s="24"/>
      <c r="E44" s="54">
        <v>56.5</v>
      </c>
    </row>
    <row r="45" spans="1:7" x14ac:dyDescent="0.25">
      <c r="A45" s="25" t="s">
        <v>264</v>
      </c>
      <c r="B45" s="11">
        <f>49636.45*1.0952</f>
        <v>54361.840039999995</v>
      </c>
      <c r="C45" s="23"/>
      <c r="D45" s="24"/>
    </row>
    <row r="46" spans="1:7" s="55" customFormat="1" x14ac:dyDescent="0.25">
      <c r="A46" s="15" t="s">
        <v>265</v>
      </c>
      <c r="B46" s="121">
        <f>SUM(B47:B65)</f>
        <v>480264.26</v>
      </c>
      <c r="C46" s="9"/>
      <c r="D46" s="10"/>
    </row>
    <row r="47" spans="1:7" x14ac:dyDescent="0.25">
      <c r="A47" s="19" t="s">
        <v>266</v>
      </c>
      <c r="B47" s="162">
        <v>7501.2</v>
      </c>
      <c r="C47" s="9"/>
      <c r="D47" s="10"/>
      <c r="E47" s="54" t="s">
        <v>267</v>
      </c>
    </row>
    <row r="48" spans="1:7" x14ac:dyDescent="0.25">
      <c r="A48" s="19" t="s">
        <v>268</v>
      </c>
      <c r="B48" s="162">
        <v>9108.6</v>
      </c>
      <c r="C48" s="9"/>
      <c r="D48" s="10"/>
      <c r="E48" s="54" t="s">
        <v>269</v>
      </c>
    </row>
    <row r="49" spans="1:5" x14ac:dyDescent="0.25">
      <c r="A49" s="26" t="s">
        <v>270</v>
      </c>
      <c r="B49" s="162">
        <v>405976.52</v>
      </c>
      <c r="C49" s="9">
        <v>7</v>
      </c>
      <c r="D49" s="10">
        <f>5187.89*7</f>
        <v>36315.230000000003</v>
      </c>
    </row>
    <row r="50" spans="1:5" hidden="1" x14ac:dyDescent="0.25">
      <c r="A50" s="26" t="s">
        <v>281</v>
      </c>
      <c r="B50" s="10"/>
      <c r="C50" s="9">
        <v>7</v>
      </c>
      <c r="D50" s="10">
        <v>4190</v>
      </c>
    </row>
    <row r="51" spans="1:5" hidden="1" x14ac:dyDescent="0.25">
      <c r="A51" s="26" t="s">
        <v>455</v>
      </c>
      <c r="B51" s="10">
        <v>0</v>
      </c>
      <c r="C51" s="9">
        <v>7</v>
      </c>
      <c r="D51" s="10">
        <v>13973</v>
      </c>
    </row>
    <row r="52" spans="1:5" x14ac:dyDescent="0.25">
      <c r="A52" s="26" t="s">
        <v>281</v>
      </c>
      <c r="B52" s="10">
        <f>453.9</f>
        <v>453.9</v>
      </c>
      <c r="C52" s="9">
        <v>7</v>
      </c>
      <c r="D52" s="10">
        <v>105.14</v>
      </c>
    </row>
    <row r="53" spans="1:5" hidden="1" x14ac:dyDescent="0.25">
      <c r="A53" s="26" t="s">
        <v>373</v>
      </c>
      <c r="B53" s="98"/>
      <c r="C53" s="9">
        <v>0</v>
      </c>
      <c r="D53" s="10">
        <v>522.99</v>
      </c>
    </row>
    <row r="54" spans="1:5" x14ac:dyDescent="0.25">
      <c r="A54" s="26" t="s">
        <v>275</v>
      </c>
      <c r="B54" s="11">
        <v>8133.62</v>
      </c>
      <c r="C54" s="9">
        <v>1</v>
      </c>
      <c r="D54" s="28">
        <v>695.13</v>
      </c>
    </row>
    <row r="55" spans="1:5" s="3" customFormat="1" hidden="1" x14ac:dyDescent="0.25">
      <c r="A55" s="26" t="s">
        <v>457</v>
      </c>
      <c r="B55" s="162">
        <v>0</v>
      </c>
      <c r="C55" s="9"/>
      <c r="D55" s="28"/>
    </row>
    <row r="56" spans="1:5" hidden="1" x14ac:dyDescent="0.25">
      <c r="A56" s="26" t="s">
        <v>277</v>
      </c>
      <c r="B56" s="98">
        <v>0</v>
      </c>
      <c r="C56" s="9">
        <v>0</v>
      </c>
      <c r="D56" s="10">
        <f>10695.76/1.18</f>
        <v>9064.203389830509</v>
      </c>
    </row>
    <row r="57" spans="1:5" hidden="1" x14ac:dyDescent="0.25">
      <c r="A57" s="26" t="s">
        <v>456</v>
      </c>
      <c r="B57" s="98"/>
      <c r="C57" s="9">
        <v>0</v>
      </c>
      <c r="D57" s="10">
        <f>2300/1.18</f>
        <v>1949.1525423728815</v>
      </c>
    </row>
    <row r="58" spans="1:5" hidden="1" x14ac:dyDescent="0.25">
      <c r="A58" s="26" t="s">
        <v>344</v>
      </c>
      <c r="B58" s="98"/>
      <c r="C58" s="9">
        <v>0</v>
      </c>
      <c r="D58" s="10">
        <v>0</v>
      </c>
    </row>
    <row r="59" spans="1:5" x14ac:dyDescent="0.25">
      <c r="A59" s="26" t="s">
        <v>520</v>
      </c>
      <c r="B59" s="162">
        <v>4200</v>
      </c>
      <c r="C59" s="9"/>
      <c r="D59" s="10"/>
      <c r="E59" s="54">
        <f>B13*'[1]63тарифы'!D184</f>
        <v>0</v>
      </c>
    </row>
    <row r="60" spans="1:5" hidden="1" x14ac:dyDescent="0.25">
      <c r="A60" s="19" t="s">
        <v>279</v>
      </c>
      <c r="B60" s="98">
        <v>0</v>
      </c>
      <c r="C60" s="9"/>
      <c r="D60" s="10"/>
    </row>
    <row r="61" spans="1:5" hidden="1" x14ac:dyDescent="0.25">
      <c r="A61" s="19" t="s">
        <v>280</v>
      </c>
      <c r="B61" s="98">
        <v>0</v>
      </c>
      <c r="C61" s="9"/>
      <c r="D61" s="10">
        <v>0</v>
      </c>
    </row>
    <row r="62" spans="1:5" hidden="1" x14ac:dyDescent="0.25">
      <c r="A62" s="19" t="s">
        <v>458</v>
      </c>
      <c r="B62" s="11">
        <v>0</v>
      </c>
      <c r="C62" s="9"/>
      <c r="D62" s="10">
        <v>0</v>
      </c>
    </row>
    <row r="63" spans="1:5" x14ac:dyDescent="0.25">
      <c r="A63" s="19" t="s">
        <v>325</v>
      </c>
      <c r="B63" s="162">
        <v>44890.42</v>
      </c>
      <c r="C63" s="30">
        <v>1</v>
      </c>
      <c r="D63" s="10">
        <v>0</v>
      </c>
    </row>
    <row r="64" spans="1:5" hidden="1" x14ac:dyDescent="0.25">
      <c r="A64" s="19" t="s">
        <v>283</v>
      </c>
      <c r="B64" s="31">
        <v>0</v>
      </c>
      <c r="C64" s="30">
        <v>250</v>
      </c>
      <c r="D64" s="10">
        <v>2</v>
      </c>
      <c r="E64" s="54">
        <v>0</v>
      </c>
    </row>
    <row r="65" spans="1:4" hidden="1" x14ac:dyDescent="0.25">
      <c r="A65" s="19" t="s">
        <v>284</v>
      </c>
      <c r="B65" s="31">
        <v>0</v>
      </c>
      <c r="C65" s="32"/>
      <c r="D65" s="24">
        <v>0</v>
      </c>
    </row>
    <row r="66" spans="1:4" s="55" customFormat="1" x14ac:dyDescent="0.25">
      <c r="A66" s="33" t="s">
        <v>285</v>
      </c>
      <c r="B66" s="121">
        <f>SUM(B67:B74)</f>
        <v>927435.42574620154</v>
      </c>
      <c r="C66" s="23"/>
      <c r="D66" s="24"/>
    </row>
    <row r="67" spans="1:4" hidden="1" x14ac:dyDescent="0.25">
      <c r="A67" s="19" t="s">
        <v>286</v>
      </c>
      <c r="B67" s="98">
        <v>0</v>
      </c>
      <c r="C67" s="23"/>
      <c r="D67" s="24"/>
    </row>
    <row r="68" spans="1:4" x14ac:dyDescent="0.25">
      <c r="A68" s="19" t="s">
        <v>287</v>
      </c>
      <c r="B68" s="11">
        <f>206335*1.04*1.1194*1.0952</f>
        <v>263078.271232192</v>
      </c>
      <c r="C68" s="23">
        <f>46*B16</f>
        <v>245646.13333333333</v>
      </c>
      <c r="D68" s="24"/>
    </row>
    <row r="69" spans="1:4" hidden="1" x14ac:dyDescent="0.25">
      <c r="A69" s="19" t="s">
        <v>288</v>
      </c>
      <c r="B69" s="98">
        <v>0</v>
      </c>
      <c r="C69" s="23"/>
      <c r="D69" s="24"/>
    </row>
    <row r="70" spans="1:4" x14ac:dyDescent="0.25">
      <c r="A70" s="25" t="s">
        <v>289</v>
      </c>
      <c r="B70" s="11">
        <f>1.35*B15</f>
        <v>19950.165000000001</v>
      </c>
      <c r="C70" s="23"/>
      <c r="D70" s="24"/>
    </row>
    <row r="71" spans="1:4" x14ac:dyDescent="0.25">
      <c r="A71" s="25" t="s">
        <v>290</v>
      </c>
      <c r="B71" s="11">
        <f>5.06*B15</f>
        <v>74776.173999999999</v>
      </c>
      <c r="C71" s="23"/>
      <c r="D71" s="24"/>
    </row>
    <row r="72" spans="1:4" x14ac:dyDescent="0.25">
      <c r="A72" s="25" t="s">
        <v>291</v>
      </c>
      <c r="B72" s="11">
        <f>17.68*B15</f>
        <v>261273.272</v>
      </c>
      <c r="C72" s="23"/>
      <c r="D72" s="24"/>
    </row>
    <row r="73" spans="1:4" s="3" customFormat="1" x14ac:dyDescent="0.25">
      <c r="A73" s="25" t="s">
        <v>292</v>
      </c>
      <c r="B73" s="11">
        <f>25600*1.04*1.1194*1.0952</f>
        <v>32640.142213119998</v>
      </c>
      <c r="C73" s="23"/>
      <c r="D73" s="24"/>
    </row>
    <row r="74" spans="1:4" x14ac:dyDescent="0.25">
      <c r="A74" s="25" t="s">
        <v>459</v>
      </c>
      <c r="B74" s="11">
        <f>216248*1.04*1.1194*1.0952</f>
        <v>275717.40130088961</v>
      </c>
      <c r="C74" s="23"/>
      <c r="D74" s="24"/>
    </row>
    <row r="75" spans="1:4" ht="41.25" x14ac:dyDescent="0.25">
      <c r="A75" s="34" t="s">
        <v>447</v>
      </c>
      <c r="B75" s="121">
        <f>SUM(B76:B76)</f>
        <v>544602.02331212477</v>
      </c>
      <c r="C75" s="23"/>
      <c r="D75" s="24"/>
    </row>
    <row r="76" spans="1:4" x14ac:dyDescent="0.25">
      <c r="A76" s="25" t="s">
        <v>295</v>
      </c>
      <c r="B76" s="11">
        <f>444222.46*1.1194*1.0952</f>
        <v>544602.02331212477</v>
      </c>
      <c r="C76" s="23">
        <f>B76/B15</f>
        <v>36.852463699992882</v>
      </c>
      <c r="D76" s="24"/>
    </row>
    <row r="77" spans="1:4" s="55" customFormat="1" x14ac:dyDescent="0.25">
      <c r="A77" s="33" t="s">
        <v>296</v>
      </c>
      <c r="B77" s="121">
        <f>SUM(B78:B81)</f>
        <v>494390.54329321632</v>
      </c>
      <c r="C77" s="23"/>
      <c r="D77" s="24"/>
    </row>
    <row r="78" spans="1:4" x14ac:dyDescent="0.25">
      <c r="A78" s="35" t="s">
        <v>297</v>
      </c>
      <c r="B78" s="11">
        <f>'[1]63тарифы'!D170*B15*1.1194*1.0952</f>
        <v>390392.30487058224</v>
      </c>
      <c r="C78" s="23"/>
      <c r="D78" s="24"/>
    </row>
    <row r="79" spans="1:4" x14ac:dyDescent="0.25">
      <c r="A79" s="35" t="s">
        <v>298</v>
      </c>
      <c r="B79" s="11">
        <f>B26/1.2*30%</f>
        <v>8600.4599999999991</v>
      </c>
      <c r="C79" s="23"/>
      <c r="D79" s="24"/>
    </row>
    <row r="80" spans="1:4" x14ac:dyDescent="0.25">
      <c r="A80" s="83" t="s">
        <v>448</v>
      </c>
      <c r="B80" s="11">
        <f>35791.03+27166.63</f>
        <v>62957.66</v>
      </c>
      <c r="C80" s="23"/>
      <c r="D80" s="24"/>
    </row>
    <row r="81" spans="1:4" x14ac:dyDescent="0.25">
      <c r="A81" s="83" t="s">
        <v>449</v>
      </c>
      <c r="B81" s="11">
        <f>'[1]63тарифы'!D173*B13*1.1194*1.01</f>
        <v>32440.118422634023</v>
      </c>
      <c r="C81" s="23"/>
      <c r="D81" s="24"/>
    </row>
    <row r="82" spans="1:4" x14ac:dyDescent="0.25">
      <c r="A82" s="37" t="s">
        <v>301</v>
      </c>
      <c r="B82" s="14">
        <f>B32+B42+B46+B66+B75+B77</f>
        <v>3117970.8123915428</v>
      </c>
      <c r="C82" s="23"/>
      <c r="D82" s="24"/>
    </row>
    <row r="83" spans="1:4" x14ac:dyDescent="0.25">
      <c r="A83" s="199" t="s">
        <v>302</v>
      </c>
      <c r="B83" s="11">
        <f>B82*0.03</f>
        <v>93539.124371746278</v>
      </c>
      <c r="C83" s="23"/>
      <c r="D83" s="24"/>
    </row>
    <row r="84" spans="1:4" s="68" customFormat="1" x14ac:dyDescent="0.25">
      <c r="A84" s="176" t="s">
        <v>303</v>
      </c>
      <c r="B84" s="121">
        <f>B82+B83</f>
        <v>3211509.9367632889</v>
      </c>
      <c r="C84" s="23"/>
      <c r="D84" s="24"/>
    </row>
    <row r="85" spans="1:4" ht="16.5" thickBot="1" x14ac:dyDescent="0.3">
      <c r="A85" s="177" t="s">
        <v>304</v>
      </c>
      <c r="B85" s="142">
        <f>B84*0.2</f>
        <v>642301.98735265783</v>
      </c>
      <c r="C85" s="23"/>
      <c r="D85" s="24"/>
    </row>
    <row r="86" spans="1:4" s="55" customFormat="1" ht="16.5" thickBot="1" x14ac:dyDescent="0.3">
      <c r="A86" s="38" t="s">
        <v>305</v>
      </c>
      <c r="B86" s="46">
        <f>B84+B85</f>
        <v>3853811.9241159465</v>
      </c>
      <c r="C86" s="40"/>
      <c r="D86" s="41"/>
    </row>
    <row r="87" spans="1:4" s="55" customFormat="1" ht="16.5" thickBot="1" x14ac:dyDescent="0.3">
      <c r="A87" s="42" t="s">
        <v>306</v>
      </c>
      <c r="B87" s="46">
        <f>B10+B24+B26+B28+B29-B86</f>
        <v>697207.95588405244</v>
      </c>
      <c r="C87" s="43"/>
      <c r="D87" s="43"/>
    </row>
    <row r="88" spans="1:4" s="55" customFormat="1" ht="16.5" hidden="1" thickBot="1" x14ac:dyDescent="0.3">
      <c r="A88" s="44" t="s">
        <v>307</v>
      </c>
      <c r="B88" s="46"/>
      <c r="C88" s="43"/>
      <c r="D88" s="43"/>
    </row>
    <row r="89" spans="1:4" s="55" customFormat="1" ht="16.5" hidden="1" thickBot="1" x14ac:dyDescent="0.3">
      <c r="A89" s="45" t="s">
        <v>308</v>
      </c>
      <c r="B89" s="163"/>
      <c r="C89" s="43"/>
      <c r="D89" s="43"/>
    </row>
    <row r="90" spans="1:4" s="55" customFormat="1" x14ac:dyDescent="0.25">
      <c r="A90" s="47"/>
      <c r="B90" s="200"/>
      <c r="C90" s="43"/>
      <c r="D90" s="43"/>
    </row>
    <row r="91" spans="1:4" x14ac:dyDescent="0.25">
      <c r="A91" s="49"/>
    </row>
    <row r="92" spans="1:4" x14ac:dyDescent="0.25">
      <c r="A92" s="267" t="s">
        <v>543</v>
      </c>
      <c r="B92" s="267"/>
    </row>
    <row r="93" spans="1:4" x14ac:dyDescent="0.25">
      <c r="A93" s="49"/>
      <c r="B93" s="51"/>
    </row>
    <row r="94" spans="1:4" x14ac:dyDescent="0.25">
      <c r="A94" s="279"/>
      <c r="B94" s="268"/>
      <c r="C94" s="221"/>
    </row>
  </sheetData>
  <autoFilter ref="A31:G89" xr:uid="{00000000-0009-0000-0000-00004D000000}">
    <filterColumn colId="1">
      <filters>
        <filter val="12 681,10"/>
        <filter val="13 098,37"/>
        <filter val="152 917,28"/>
        <filter val="161 991,34"/>
        <filter val="19 950,17"/>
        <filter val="219 960,22"/>
        <filter val="224 405,92"/>
        <filter val="261 273,27"/>
        <filter val="263 078,27"/>
        <filter val="275 717,40"/>
        <filter val="3 117 970,81"/>
        <filter val="3 211 509,94"/>
        <filter val="3 853 811,92"/>
        <filter val="32 440,12"/>
        <filter val="32 640,14"/>
        <filter val="390 392,30"/>
        <filter val="4 200,00"/>
        <filter val="405 976,52"/>
        <filter val="44 890,42"/>
        <filter val="451 318,34"/>
        <filter val="453,90"/>
        <filter val="480 264,26"/>
        <filter val="494 390,54"/>
        <filter val="51 822,71"/>
        <filter val="54 361,84"/>
        <filter val="544 602,02"/>
        <filter val="62 957,66"/>
        <filter val="642 301,99"/>
        <filter val="697 207,96"/>
        <filter val="7 501,20"/>
        <filter val="74 776,17"/>
        <filter val="8 133,62"/>
        <filter val="8 600,46"/>
        <filter val="9 108,60"/>
        <filter val="927 435,43"/>
        <filter val="93 539,12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78740157480314965" right="0.78740157480314965" top="0.35433070866141736" bottom="0.15748031496062992" header="0.31496062992125984" footer="0.31496062992125984"/>
  <pageSetup paperSize="9" scale="78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filterMode="1">
    <pageSetUpPr fitToPage="1"/>
  </sheetPr>
  <dimension ref="A1:G95"/>
  <sheetViews>
    <sheetView view="pageBreakPreview" topLeftCell="A71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3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194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-3800226.53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4562.6000000000004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0</v>
      </c>
      <c r="C14" s="60"/>
      <c r="D14" s="59"/>
    </row>
    <row r="15" spans="1:4" ht="15.75" hidden="1" x14ac:dyDescent="0.25">
      <c r="A15" s="58" t="s">
        <v>237</v>
      </c>
      <c r="B15" s="11">
        <f>B13+B14</f>
        <v>4562.6000000000004</v>
      </c>
      <c r="C15" s="61"/>
      <c r="D15" s="62"/>
    </row>
    <row r="16" spans="1:4" ht="16.5" hidden="1" thickBot="1" x14ac:dyDescent="0.3">
      <c r="A16" s="58" t="s">
        <v>238</v>
      </c>
      <c r="B16" s="11">
        <f>1557.1+729/3</f>
        <v>1800.1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285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988.2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1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277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1226065.8799999999</v>
      </c>
      <c r="C24" s="59"/>
      <c r="D24" s="62"/>
      <c r="E24" s="194">
        <v>18.340000000000003</v>
      </c>
      <c r="F24" s="195">
        <v>20.529796000000005</v>
      </c>
      <c r="G24" s="54"/>
    </row>
    <row r="25" spans="1:7" ht="16.5" thickBot="1" x14ac:dyDescent="0.3">
      <c r="A25" s="64" t="s">
        <v>318</v>
      </c>
      <c r="B25" s="14">
        <f>VLOOKUP(A5,мкд!W:Y,3,FALSE)</f>
        <v>1138426.99</v>
      </c>
      <c r="C25" s="63"/>
      <c r="D25" s="62"/>
      <c r="E25" s="54"/>
      <c r="F25" s="54"/>
      <c r="G25" s="54"/>
    </row>
    <row r="26" spans="1:7" ht="15.75" hidden="1" x14ac:dyDescent="0.25">
      <c r="A26" s="64" t="s">
        <v>319</v>
      </c>
      <c r="B26" s="14"/>
      <c r="C26" s="57"/>
      <c r="D26" s="59"/>
      <c r="E26" s="54"/>
      <c r="F26" s="54"/>
      <c r="G26" s="54"/>
    </row>
    <row r="27" spans="1:7" ht="16.5" hidden="1" thickBot="1" x14ac:dyDescent="0.3">
      <c r="A27" s="64" t="s">
        <v>248</v>
      </c>
      <c r="B27" s="14">
        <f>B26</f>
        <v>0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51034.080000000002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69181.853480945589</v>
      </c>
      <c r="C32" s="59"/>
      <c r="D32" s="62"/>
      <c r="E32" s="67">
        <f>(B86-B26-B24)/1.2/1.03</f>
        <v>-17762.679448241441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f>50577.87*1.1194*1.0952</f>
        <v>62006.793480945598</v>
      </c>
      <c r="C33" s="63"/>
      <c r="D33" s="62">
        <v>42248.35</v>
      </c>
      <c r="E33" s="54"/>
      <c r="F33" s="54"/>
      <c r="G33" s="54"/>
    </row>
    <row r="34" spans="1:7" ht="15.75" hidden="1" x14ac:dyDescent="0.25">
      <c r="A34" s="69" t="s">
        <v>339</v>
      </c>
      <c r="B34" s="11">
        <v>0</v>
      </c>
      <c r="C34" s="57"/>
      <c r="D34" s="59">
        <v>0</v>
      </c>
      <c r="E34" s="54"/>
      <c r="F34" s="54"/>
      <c r="G34" s="54"/>
    </row>
    <row r="35" spans="1:7" ht="15.75" hidden="1" x14ac:dyDescent="0.25">
      <c r="A35" s="69" t="s">
        <v>256</v>
      </c>
      <c r="B35" s="11"/>
      <c r="C35" s="62"/>
      <c r="D35" s="59">
        <v>0</v>
      </c>
      <c r="E35" s="54"/>
      <c r="F35" s="54"/>
      <c r="G35" s="54"/>
    </row>
    <row r="36" spans="1:7" ht="15.75" x14ac:dyDescent="0.25">
      <c r="A36" s="69" t="s">
        <v>255</v>
      </c>
      <c r="B36" s="11">
        <v>4572.55</v>
      </c>
      <c r="C36" s="62" t="s">
        <v>234</v>
      </c>
      <c r="D36" s="59">
        <v>0</v>
      </c>
      <c r="E36" s="54" t="s">
        <v>472</v>
      </c>
      <c r="F36" s="54"/>
      <c r="G36" s="54"/>
    </row>
    <row r="37" spans="1:7" ht="16.5" thickBot="1" x14ac:dyDescent="0.3">
      <c r="A37" s="69" t="s">
        <v>257</v>
      </c>
      <c r="B37" s="11">
        <v>2602.5100000000002</v>
      </c>
      <c r="C37" s="62"/>
      <c r="D37" s="59">
        <v>0</v>
      </c>
      <c r="E37" s="54"/>
      <c r="F37" s="54"/>
      <c r="G37" s="54"/>
    </row>
    <row r="38" spans="1:7" ht="16.5" hidden="1" thickBot="1" x14ac:dyDescent="0.3">
      <c r="A38" s="69" t="s">
        <v>258</v>
      </c>
      <c r="B38" s="11">
        <v>0</v>
      </c>
      <c r="C38" s="62"/>
      <c r="D38" s="59">
        <v>0</v>
      </c>
      <c r="E38" s="54"/>
      <c r="F38" s="54"/>
      <c r="G38" s="54"/>
    </row>
    <row r="39" spans="1:7" ht="16.5" hidden="1" thickBot="1" x14ac:dyDescent="0.3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6.5" hidden="1" thickBot="1" x14ac:dyDescent="0.3">
      <c r="A40" s="69" t="s">
        <v>357</v>
      </c>
      <c r="B40" s="11"/>
      <c r="C40" s="62"/>
      <c r="D40" s="59"/>
      <c r="E40" s="54"/>
      <c r="F40" s="54"/>
      <c r="G40" s="54"/>
    </row>
    <row r="41" spans="1:7" ht="16.5" hidden="1" thickBot="1" x14ac:dyDescent="0.3">
      <c r="A41" s="69" t="s">
        <v>339</v>
      </c>
      <c r="B41" s="11"/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43020.486236844852</v>
      </c>
      <c r="C42" s="56"/>
      <c r="D42" s="62"/>
      <c r="E42" s="67"/>
      <c r="F42" s="67"/>
      <c r="G42" s="67"/>
    </row>
    <row r="43" spans="1:7" ht="15.75" hidden="1" x14ac:dyDescent="0.25">
      <c r="A43" s="69" t="s">
        <v>262</v>
      </c>
      <c r="B43" s="11"/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12234.220000000001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('[1]34тарифы'!D163*B15+905.11)*1.1194*1.0952</f>
        <v>30786.266236844851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165738.46</v>
      </c>
      <c r="C46" s="56"/>
      <c r="D46" s="62"/>
    </row>
    <row r="47" spans="1:7" ht="15.75" x14ac:dyDescent="0.25">
      <c r="A47" s="69" t="s">
        <v>324</v>
      </c>
      <c r="B47" s="162">
        <v>1197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62">
        <v>1453.5</v>
      </c>
      <c r="C48" s="62"/>
      <c r="D48" s="59"/>
      <c r="E48" s="54" t="s">
        <v>269</v>
      </c>
      <c r="F48" s="54"/>
      <c r="G48" s="54"/>
    </row>
    <row r="49" spans="1:5" ht="15.75" x14ac:dyDescent="0.25">
      <c r="A49" s="75" t="s">
        <v>270</v>
      </c>
      <c r="B49" s="162">
        <v>44310.06</v>
      </c>
      <c r="C49" s="62">
        <v>1</v>
      </c>
      <c r="D49" s="59">
        <v>4716.26</v>
      </c>
      <c r="E49" s="54"/>
    </row>
    <row r="50" spans="1:5" ht="15.75" x14ac:dyDescent="0.25">
      <c r="A50" s="75" t="s">
        <v>271</v>
      </c>
      <c r="B50" s="11">
        <v>14900</v>
      </c>
      <c r="C50" s="62">
        <v>1</v>
      </c>
      <c r="D50" s="59">
        <v>4190</v>
      </c>
      <c r="E50" s="54"/>
    </row>
    <row r="51" spans="1:5" ht="15.75" x14ac:dyDescent="0.25">
      <c r="A51" s="75" t="s">
        <v>356</v>
      </c>
      <c r="B51" s="162">
        <f>840+463.36+1043</f>
        <v>2346.36</v>
      </c>
      <c r="C51" s="62">
        <v>1</v>
      </c>
      <c r="D51" s="59">
        <v>0</v>
      </c>
      <c r="E51" s="54"/>
    </row>
    <row r="52" spans="1:5" ht="15.75" x14ac:dyDescent="0.25">
      <c r="A52" s="75" t="s">
        <v>520</v>
      </c>
      <c r="B52" s="132">
        <v>4200</v>
      </c>
      <c r="C52" s="62">
        <v>1</v>
      </c>
      <c r="D52" s="59">
        <v>105.14</v>
      </c>
      <c r="E52" s="54"/>
    </row>
    <row r="53" spans="1:5" ht="15.75" hidden="1" x14ac:dyDescent="0.25">
      <c r="A53" s="75" t="s">
        <v>274</v>
      </c>
      <c r="B53" s="11">
        <v>0</v>
      </c>
      <c r="C53" s="62">
        <v>0</v>
      </c>
      <c r="D53" s="59">
        <v>522.99</v>
      </c>
      <c r="E53" s="54"/>
    </row>
    <row r="54" spans="1:5" ht="15.75" x14ac:dyDescent="0.25">
      <c r="A54" s="75" t="s">
        <v>275</v>
      </c>
      <c r="B54" s="11">
        <v>8133.61</v>
      </c>
      <c r="C54" s="62">
        <v>1</v>
      </c>
      <c r="D54" s="76">
        <v>700.55</v>
      </c>
      <c r="E54" s="54"/>
    </row>
    <row r="55" spans="1:5" ht="15.75" hidden="1" x14ac:dyDescent="0.25">
      <c r="A55" s="75" t="s">
        <v>276</v>
      </c>
      <c r="B55" s="11">
        <v>0</v>
      </c>
      <c r="C55" s="62"/>
      <c r="D55" s="76"/>
      <c r="E55" s="54"/>
    </row>
    <row r="56" spans="1:5" ht="15.75" x14ac:dyDescent="0.25">
      <c r="A56" s="75" t="s">
        <v>518</v>
      </c>
      <c r="B56" s="11">
        <f>38797.93</f>
        <v>38797.93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312</v>
      </c>
      <c r="B57" s="11">
        <v>0</v>
      </c>
      <c r="C57" s="62">
        <v>0</v>
      </c>
      <c r="D57" s="59">
        <f>2300/1.18</f>
        <v>1949.1525423728815</v>
      </c>
      <c r="E57" s="54"/>
    </row>
    <row r="58" spans="1:5" ht="15.75" hidden="1" x14ac:dyDescent="0.25">
      <c r="A58" s="75" t="s">
        <v>342</v>
      </c>
      <c r="B58" s="11">
        <v>0</v>
      </c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</row>
    <row r="60" spans="1:5" ht="15.75" hidden="1" x14ac:dyDescent="0.25">
      <c r="A60" s="69" t="s">
        <v>279</v>
      </c>
      <c r="B60" s="11">
        <v>0</v>
      </c>
      <c r="C60" s="57"/>
      <c r="D60" s="59"/>
      <c r="E60" s="54"/>
    </row>
    <row r="61" spans="1:5" ht="15.75" hidden="1" x14ac:dyDescent="0.25">
      <c r="A61" s="69" t="s">
        <v>280</v>
      </c>
      <c r="B61" s="11">
        <v>0</v>
      </c>
      <c r="C61" s="62"/>
      <c r="D61" s="59">
        <v>0</v>
      </c>
      <c r="E61" s="54"/>
    </row>
    <row r="62" spans="1:5" ht="15.75" hidden="1" x14ac:dyDescent="0.25">
      <c r="A62" s="69" t="s">
        <v>336</v>
      </c>
      <c r="B62" s="11">
        <v>0</v>
      </c>
      <c r="C62" s="62"/>
      <c r="D62" s="59">
        <v>0</v>
      </c>
      <c r="E62" s="54"/>
    </row>
    <row r="63" spans="1:5" ht="15.75" hidden="1" x14ac:dyDescent="0.25">
      <c r="A63" s="69" t="s">
        <v>325</v>
      </c>
      <c r="B63" s="132">
        <v>0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106</v>
      </c>
      <c r="D64" s="62">
        <v>1</v>
      </c>
      <c r="E64" s="54">
        <v>0</v>
      </c>
    </row>
    <row r="65" spans="1:4" ht="16.5" thickBot="1" x14ac:dyDescent="0.3">
      <c r="A65" s="69" t="s">
        <v>467</v>
      </c>
      <c r="B65" s="132">
        <v>50400</v>
      </c>
      <c r="C65" s="80"/>
      <c r="D65" s="73">
        <v>0</v>
      </c>
    </row>
    <row r="66" spans="1:4" s="55" customFormat="1" ht="16.5" thickBot="1" x14ac:dyDescent="0.3">
      <c r="A66" s="175" t="s">
        <v>285</v>
      </c>
      <c r="B66" s="121">
        <f>SUM(B67:B74)</f>
        <v>289143.70140812983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65900.46*1.04*1.1194*1.0952</f>
        <v>84023.452590235393</v>
      </c>
      <c r="C68" s="56"/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6159.5100000000011</v>
      </c>
      <c r="C70" s="60"/>
      <c r="D70" s="73"/>
    </row>
    <row r="71" spans="1:4" ht="15.75" x14ac:dyDescent="0.25">
      <c r="A71" s="74" t="s">
        <v>290</v>
      </c>
      <c r="B71" s="11">
        <f>5.06*B15</f>
        <v>23086.756000000001</v>
      </c>
      <c r="C71" s="81"/>
      <c r="D71" s="60"/>
    </row>
    <row r="72" spans="1:4" ht="15.75" x14ac:dyDescent="0.25">
      <c r="A72" s="74" t="s">
        <v>291</v>
      </c>
      <c r="B72" s="11">
        <f>17.68*B15</f>
        <v>80666.768000000011</v>
      </c>
      <c r="C72" s="73"/>
      <c r="D72" s="60"/>
    </row>
    <row r="73" spans="1:4" ht="15.75" x14ac:dyDescent="0.25">
      <c r="A73" s="25" t="s">
        <v>292</v>
      </c>
      <c r="B73" s="166">
        <f>7907*1.04*1.1194*1.0952</f>
        <v>10081.468924966401</v>
      </c>
      <c r="C73" s="73"/>
      <c r="D73" s="60"/>
    </row>
    <row r="74" spans="1:4" ht="15.75" x14ac:dyDescent="0.25">
      <c r="A74" s="74" t="s">
        <v>293</v>
      </c>
      <c r="B74" s="11">
        <f>66765*1.04*1.1194*1.0952</f>
        <v>85125.745892927996</v>
      </c>
      <c r="C74" s="73"/>
      <c r="D74" s="60"/>
    </row>
    <row r="75" spans="1:4" ht="47.25" x14ac:dyDescent="0.25">
      <c r="A75" s="213" t="s">
        <v>326</v>
      </c>
      <c r="B75" s="121">
        <f>SUM(B76:B76)</f>
        <v>253224.30000000002</v>
      </c>
      <c r="C75" s="73"/>
      <c r="D75" s="60"/>
    </row>
    <row r="76" spans="1:4" ht="15.75" x14ac:dyDescent="0.25">
      <c r="A76" s="74" t="s">
        <v>295</v>
      </c>
      <c r="B76" s="11">
        <v>253224.30000000002</v>
      </c>
      <c r="C76" s="73">
        <f>B15*37*1.5</f>
        <v>253224.30000000002</v>
      </c>
      <c r="D76" s="60"/>
    </row>
    <row r="77" spans="1:4" s="55" customFormat="1" ht="15.75" x14ac:dyDescent="0.25">
      <c r="A77" s="175" t="s">
        <v>296</v>
      </c>
      <c r="B77" s="121">
        <f>SUM(B78:B81)</f>
        <v>153891.20550998038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'[1]34тарифы'!D170*B15*1.1194*1.0952</f>
        <v>120531.59990272764</v>
      </c>
      <c r="C78" s="63"/>
      <c r="D78" s="60"/>
    </row>
    <row r="79" spans="1:4" ht="16.5" hidden="1" thickBot="1" x14ac:dyDescent="0.3">
      <c r="A79" s="35" t="s">
        <v>298</v>
      </c>
      <c r="B79" s="11">
        <f>(B26/1.2)*30%</f>
        <v>0</v>
      </c>
      <c r="C79" s="65"/>
      <c r="D79" s="73"/>
    </row>
    <row r="80" spans="1:4" ht="15.75" x14ac:dyDescent="0.25">
      <c r="A80" s="83" t="s">
        <v>328</v>
      </c>
      <c r="B80" s="11">
        <f>14724.75+8510.48</f>
        <v>23235.23</v>
      </c>
      <c r="C80" s="81"/>
      <c r="D80" s="60"/>
    </row>
    <row r="81" spans="1:4" ht="15.75" x14ac:dyDescent="0.25">
      <c r="A81" s="83" t="s">
        <v>329</v>
      </c>
      <c r="B81" s="11">
        <f>'[1]34тарифы'!D173*B13*1.1194*1.01</f>
        <v>10124.375607252743</v>
      </c>
      <c r="C81" s="73"/>
      <c r="D81" s="60"/>
    </row>
    <row r="82" spans="1:4" ht="15.75" x14ac:dyDescent="0.25">
      <c r="A82" s="214" t="s">
        <v>301</v>
      </c>
      <c r="B82" s="14">
        <f>B32+B42+B46+B66+B75+B77</f>
        <v>974200.00663590082</v>
      </c>
      <c r="C82" s="73"/>
      <c r="D82" s="60"/>
    </row>
    <row r="83" spans="1:4" ht="15.75" x14ac:dyDescent="0.25">
      <c r="A83" s="215" t="s">
        <v>302</v>
      </c>
      <c r="B83" s="11">
        <f>B82*0.03</f>
        <v>29226.000199077025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1003426.0068349779</v>
      </c>
      <c r="C84" s="73"/>
      <c r="D84" s="60"/>
    </row>
    <row r="85" spans="1:4" ht="16.5" thickBot="1" x14ac:dyDescent="0.3">
      <c r="A85" s="217" t="s">
        <v>304</v>
      </c>
      <c r="B85" s="142">
        <f>B84*0.2</f>
        <v>200685.20136699558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1204111.2082019735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-3727237.7782019731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4E000000}">
    <filterColumn colId="1">
      <filters>
        <filter val="1 003 426,01"/>
        <filter val="1 197,00"/>
        <filter val="1 204 111,21"/>
        <filter val="1 453,50"/>
        <filter val="10 081,47"/>
        <filter val="10 124,38"/>
        <filter val="12 234,22"/>
        <filter val="120 531,60"/>
        <filter val="14 900,00"/>
        <filter val="153 891,21"/>
        <filter val="165 738,46"/>
        <filter val="2 346,36"/>
        <filter val="2 602,51"/>
        <filter val="200 685,20"/>
        <filter val="23 086,76"/>
        <filter val="23 235,23"/>
        <filter val="253 224,30"/>
        <filter val="289 143,70"/>
        <filter val="29 226,00"/>
        <filter val="-3 727 237,78"/>
        <filter val="30 786,27"/>
        <filter val="38 797,93"/>
        <filter val="4 200,00"/>
        <filter val="4 572,55"/>
        <filter val="43 020,49"/>
        <filter val="44 310,06"/>
        <filter val="50 400,00"/>
        <filter val="6 159,51"/>
        <filter val="62 006,79"/>
        <filter val="69 181,85"/>
        <filter val="8 133,61"/>
        <filter val="80 666,77"/>
        <filter val="84 023,45"/>
        <filter val="85 125,75"/>
        <filter val="974 200,01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pageSetUpPr fitToPage="1"/>
  </sheetPr>
  <dimension ref="A1:G95"/>
  <sheetViews>
    <sheetView view="pageBreakPreview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30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-208131.06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1526.6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234.5</v>
      </c>
      <c r="C14" s="60"/>
      <c r="D14" s="59"/>
    </row>
    <row r="15" spans="1:4" ht="15.75" hidden="1" x14ac:dyDescent="0.25">
      <c r="A15" s="58" t="s">
        <v>237</v>
      </c>
      <c r="B15" s="11">
        <f>B13+B14</f>
        <v>1761.1</v>
      </c>
      <c r="C15" s="61"/>
      <c r="D15" s="62"/>
    </row>
    <row r="16" spans="1:4" ht="16.5" hidden="1" thickBot="1" x14ac:dyDescent="0.3">
      <c r="A16" s="58" t="s">
        <v>238</v>
      </c>
      <c r="B16" s="11">
        <f>405.5+400.2/3</f>
        <v>538.9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598.70000000000005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759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56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/>
      <c r="F23" s="54"/>
      <c r="G23" s="54"/>
    </row>
    <row r="24" spans="1:7" ht="15.75" x14ac:dyDescent="0.25">
      <c r="A24" s="258" t="s">
        <v>317</v>
      </c>
      <c r="B24" s="255">
        <f>VLOOKUP(A5,мкд!W:X,2,FALSE)</f>
        <v>205429.9</v>
      </c>
      <c r="C24" s="59"/>
      <c r="D24" s="62"/>
      <c r="E24" s="194">
        <v>7.1300000156000003</v>
      </c>
      <c r="F24" s="54"/>
      <c r="G24" s="54"/>
    </row>
    <row r="25" spans="1:7" ht="16.5" thickBot="1" x14ac:dyDescent="0.3">
      <c r="A25" s="64" t="s">
        <v>318</v>
      </c>
      <c r="B25" s="14">
        <f>VLOOKUP(A5,мкд!W:Y,3,FALSE)</f>
        <v>201525.01</v>
      </c>
      <c r="C25" s="63"/>
      <c r="D25" s="62"/>
      <c r="E25" s="54">
        <v>7.13</v>
      </c>
      <c r="F25" s="54">
        <v>7.66</v>
      </c>
      <c r="G25" s="54"/>
    </row>
    <row r="26" spans="1:7" ht="15.75" x14ac:dyDescent="0.25">
      <c r="A26" s="64" t="s">
        <v>319</v>
      </c>
      <c r="B26" s="14">
        <v>20188.11</v>
      </c>
      <c r="C26" s="57"/>
      <c r="D26" s="59"/>
      <c r="E26" s="54"/>
      <c r="F26" s="54"/>
      <c r="G26" s="54"/>
    </row>
    <row r="27" spans="1:7" ht="16.5" thickBot="1" x14ac:dyDescent="0.3">
      <c r="A27" s="64" t="s">
        <v>248</v>
      </c>
      <c r="B27" s="14">
        <v>1866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7266.75</v>
      </c>
      <c r="C28" s="56"/>
      <c r="D28" s="62"/>
      <c r="E28" s="54"/>
      <c r="F28" s="54"/>
      <c r="G28" s="54"/>
    </row>
    <row r="29" spans="1:7" ht="16.5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25106.063102489596</v>
      </c>
      <c r="C32" s="59"/>
      <c r="D32" s="62"/>
      <c r="E32" s="67">
        <f>(B86-B26-B24)/1.2/1.03</f>
        <v>122243.48102753941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f>17717.92*1.1194*1.0952</f>
        <v>21721.583102489596</v>
      </c>
      <c r="C33" s="63"/>
      <c r="D33" s="62">
        <v>30181</v>
      </c>
      <c r="E33" s="54"/>
      <c r="F33" s="54"/>
      <c r="G33" s="54"/>
    </row>
    <row r="34" spans="1:7" ht="15.75" hidden="1" x14ac:dyDescent="0.25">
      <c r="A34" s="69" t="s">
        <v>320</v>
      </c>
      <c r="B34" s="11">
        <v>0</v>
      </c>
      <c r="C34" s="57"/>
      <c r="D34" s="59">
        <v>0</v>
      </c>
      <c r="E34" s="54"/>
      <c r="F34" s="54"/>
      <c r="G34" s="54"/>
    </row>
    <row r="35" spans="1:7" ht="15.75" hidden="1" x14ac:dyDescent="0.25">
      <c r="A35" s="69" t="s">
        <v>256</v>
      </c>
      <c r="B35" s="11"/>
      <c r="C35" s="62"/>
      <c r="D35" s="59">
        <v>0</v>
      </c>
      <c r="E35" s="54"/>
      <c r="F35" s="54"/>
      <c r="G35" s="54"/>
    </row>
    <row r="36" spans="1:7" ht="16.5" thickBot="1" x14ac:dyDescent="0.3">
      <c r="A36" s="69" t="s">
        <v>255</v>
      </c>
      <c r="B36" s="11">
        <v>3384.48</v>
      </c>
      <c r="C36" s="62" t="s">
        <v>234</v>
      </c>
      <c r="D36" s="59">
        <v>0</v>
      </c>
      <c r="E36" s="54"/>
      <c r="F36" s="54"/>
      <c r="G36" s="54"/>
    </row>
    <row r="37" spans="1:7" ht="16.5" hidden="1" thickBot="1" x14ac:dyDescent="0.3">
      <c r="A37" s="69" t="s">
        <v>257</v>
      </c>
      <c r="B37" s="11">
        <v>0</v>
      </c>
      <c r="C37" s="62"/>
      <c r="D37" s="59">
        <v>0</v>
      </c>
      <c r="E37" s="54"/>
      <c r="F37" s="54"/>
      <c r="G37" s="54"/>
    </row>
    <row r="38" spans="1:7" ht="16.5" hidden="1" thickBot="1" x14ac:dyDescent="0.3">
      <c r="A38" s="69" t="s">
        <v>258</v>
      </c>
      <c r="B38" s="11">
        <v>0</v>
      </c>
      <c r="C38" s="62"/>
      <c r="D38" s="59">
        <v>0</v>
      </c>
      <c r="E38" s="54"/>
      <c r="F38" s="54"/>
      <c r="G38" s="54"/>
    </row>
    <row r="39" spans="1:7" ht="16.5" hidden="1" thickBot="1" x14ac:dyDescent="0.3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6.5" hidden="1" thickBot="1" x14ac:dyDescent="0.3">
      <c r="A40" s="69" t="s">
        <v>310</v>
      </c>
      <c r="B40" s="11">
        <v>0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481</v>
      </c>
      <c r="B41" s="11">
        <v>0</v>
      </c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19389.928220629547</v>
      </c>
      <c r="C42" s="56"/>
      <c r="D42" s="62"/>
      <c r="E42" s="67"/>
      <c r="F42" s="67"/>
      <c r="G42" s="67"/>
    </row>
    <row r="43" spans="1:7" ht="15.75" x14ac:dyDescent="0.25">
      <c r="A43" s="69" t="s">
        <v>262</v>
      </c>
      <c r="B43" s="11">
        <v>7718.73</v>
      </c>
      <c r="C43" s="65"/>
      <c r="D43" s="73"/>
      <c r="E43" s="54"/>
      <c r="F43" s="54"/>
      <c r="G43" s="54"/>
    </row>
    <row r="44" spans="1:7" ht="15.75" hidden="1" x14ac:dyDescent="0.25">
      <c r="A44" s="69" t="s">
        <v>263</v>
      </c>
      <c r="B44" s="11"/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('[1]34тарифы'!D163*B15+176.54)*1.1194*1.0952</f>
        <v>11671.198220629545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38277.189999999995</v>
      </c>
      <c r="C46" s="56"/>
      <c r="D46" s="62"/>
    </row>
    <row r="47" spans="1:7" ht="15.75" x14ac:dyDescent="0.25">
      <c r="A47" s="69" t="s">
        <v>324</v>
      </c>
      <c r="B47" s="132">
        <v>1317.14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32">
        <v>3365.52</v>
      </c>
      <c r="C48" s="62"/>
      <c r="D48" s="59"/>
      <c r="E48" s="54" t="s">
        <v>269</v>
      </c>
      <c r="F48" s="54"/>
      <c r="G48" s="54"/>
    </row>
    <row r="49" spans="1:6" ht="15.75" x14ac:dyDescent="0.25">
      <c r="A49" s="75" t="s">
        <v>281</v>
      </c>
      <c r="B49" s="11">
        <v>19.399999999999999</v>
      </c>
      <c r="C49" s="62"/>
      <c r="D49" s="59"/>
      <c r="E49" s="54"/>
      <c r="F49" s="54"/>
    </row>
    <row r="50" spans="1:6" ht="15.75" x14ac:dyDescent="0.25">
      <c r="A50" s="75" t="s">
        <v>520</v>
      </c>
      <c r="B50" s="132">
        <v>4200</v>
      </c>
      <c r="C50" s="62"/>
      <c r="D50" s="59">
        <v>4190</v>
      </c>
      <c r="E50" s="54"/>
      <c r="F50" s="54"/>
    </row>
    <row r="51" spans="1:6" ht="15.75" hidden="1" x14ac:dyDescent="0.25">
      <c r="A51" s="75" t="s">
        <v>473</v>
      </c>
      <c r="B51" s="11"/>
      <c r="C51" s="62"/>
      <c r="D51" s="59"/>
      <c r="E51" s="54"/>
      <c r="F51" s="54"/>
    </row>
    <row r="52" spans="1:6" ht="15.75" hidden="1" x14ac:dyDescent="0.25">
      <c r="A52" s="75" t="s">
        <v>273</v>
      </c>
      <c r="B52" s="11">
        <f>B21*'[1]34тарифы'!D177</f>
        <v>0</v>
      </c>
      <c r="C52" s="62"/>
      <c r="D52" s="59">
        <v>105.14</v>
      </c>
      <c r="E52" s="54"/>
      <c r="F52" s="54"/>
    </row>
    <row r="53" spans="1:6" ht="15.75" hidden="1" x14ac:dyDescent="0.25">
      <c r="A53" s="75" t="s">
        <v>274</v>
      </c>
      <c r="B53" s="11">
        <v>0</v>
      </c>
      <c r="C53" s="62">
        <v>0</v>
      </c>
      <c r="D53" s="59">
        <v>522.99</v>
      </c>
      <c r="E53" s="54"/>
      <c r="F53" s="54"/>
    </row>
    <row r="54" spans="1:6" ht="15.75" x14ac:dyDescent="0.25">
      <c r="A54" s="95" t="s">
        <v>275</v>
      </c>
      <c r="B54" s="11">
        <v>6100</v>
      </c>
      <c r="C54" s="62">
        <v>0</v>
      </c>
      <c r="D54" s="76">
        <v>695.13</v>
      </c>
      <c r="E54" s="54"/>
      <c r="F54" s="157">
        <f>B46+435.87-B59</f>
        <v>38713.06</v>
      </c>
    </row>
    <row r="55" spans="1:6" ht="15.75" hidden="1" x14ac:dyDescent="0.25">
      <c r="A55" s="75" t="s">
        <v>276</v>
      </c>
      <c r="B55" s="11">
        <v>0</v>
      </c>
      <c r="C55" s="62"/>
      <c r="D55" s="76"/>
      <c r="E55" s="54"/>
      <c r="F55" s="54"/>
    </row>
    <row r="56" spans="1:6" ht="15.75" hidden="1" x14ac:dyDescent="0.25">
      <c r="A56" s="75" t="s">
        <v>277</v>
      </c>
      <c r="B56" s="11">
        <v>0</v>
      </c>
      <c r="C56" s="62">
        <v>0</v>
      </c>
      <c r="D56" s="59">
        <f>10695.76/1.18</f>
        <v>9064.203389830509</v>
      </c>
      <c r="E56" s="54"/>
      <c r="F56" s="54"/>
    </row>
    <row r="57" spans="1:6" ht="15.75" hidden="1" x14ac:dyDescent="0.25">
      <c r="A57" s="75" t="s">
        <v>312</v>
      </c>
      <c r="B57" s="11">
        <v>0</v>
      </c>
      <c r="C57" s="62">
        <v>0</v>
      </c>
      <c r="D57" s="59">
        <f>2300/1.18</f>
        <v>1949.1525423728815</v>
      </c>
      <c r="E57" s="54"/>
      <c r="F57" s="54"/>
    </row>
    <row r="58" spans="1:6" ht="15.75" hidden="1" x14ac:dyDescent="0.25">
      <c r="A58" s="75" t="s">
        <v>389</v>
      </c>
      <c r="B58" s="11"/>
      <c r="C58" s="60">
        <v>0</v>
      </c>
      <c r="D58" s="59">
        <v>0</v>
      </c>
      <c r="E58" s="54"/>
      <c r="F58" s="54"/>
    </row>
    <row r="59" spans="1:6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  <c r="F59" s="54"/>
    </row>
    <row r="60" spans="1:6" ht="15.75" hidden="1" x14ac:dyDescent="0.25">
      <c r="A60" s="69" t="s">
        <v>279</v>
      </c>
      <c r="B60" s="11">
        <v>0</v>
      </c>
      <c r="C60" s="57"/>
      <c r="D60" s="59"/>
      <c r="E60" s="54"/>
      <c r="F60" s="54"/>
    </row>
    <row r="61" spans="1:6" ht="15.75" hidden="1" x14ac:dyDescent="0.25">
      <c r="A61" s="69" t="s">
        <v>344</v>
      </c>
      <c r="B61" s="11"/>
      <c r="C61" s="62"/>
      <c r="D61" s="59">
        <v>0</v>
      </c>
      <c r="E61" s="54"/>
      <c r="F61" s="54"/>
    </row>
    <row r="62" spans="1:6" ht="15.75" x14ac:dyDescent="0.25">
      <c r="A62" s="69" t="s">
        <v>533</v>
      </c>
      <c r="B62" s="11">
        <v>15912</v>
      </c>
      <c r="C62" s="62"/>
      <c r="D62" s="59">
        <v>0</v>
      </c>
      <c r="E62" s="54"/>
      <c r="F62" s="54"/>
    </row>
    <row r="63" spans="1:6" ht="16.5" thickBot="1" x14ac:dyDescent="0.3">
      <c r="A63" s="69" t="s">
        <v>337</v>
      </c>
      <c r="B63" s="132">
        <v>5742.53</v>
      </c>
      <c r="C63" s="78">
        <v>1</v>
      </c>
      <c r="D63" s="59">
        <v>0</v>
      </c>
      <c r="E63" s="54"/>
      <c r="F63" s="54"/>
    </row>
    <row r="64" spans="1:6" ht="16.5" thickBot="1" x14ac:dyDescent="0.3">
      <c r="A64" s="69" t="s">
        <v>283</v>
      </c>
      <c r="B64" s="132">
        <f>VLOOKUP(A5,'[2]МКД 33'!$AI:$FO,137,FALSE)</f>
        <v>1620.6000000000001</v>
      </c>
      <c r="C64" s="79">
        <v>20</v>
      </c>
      <c r="D64" s="62">
        <v>2</v>
      </c>
      <c r="E64" s="54">
        <v>1</v>
      </c>
      <c r="F64" s="54"/>
    </row>
    <row r="65" spans="1:4" s="55" customFormat="1" ht="16.5" hidden="1" thickBot="1" x14ac:dyDescent="0.3">
      <c r="A65" s="69" t="s">
        <v>284</v>
      </c>
      <c r="B65" s="132"/>
      <c r="C65" s="80"/>
      <c r="D65" s="73">
        <v>0</v>
      </c>
    </row>
    <row r="66" spans="1:4" s="55" customFormat="1" ht="16.5" thickBot="1" x14ac:dyDescent="0.3">
      <c r="A66" s="175" t="s">
        <v>285</v>
      </c>
      <c r="B66" s="121">
        <f>SUM(B67:B74)</f>
        <v>103919.01117774984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19664*1.04*1.1194*1.095</f>
        <v>25067.130766080001</v>
      </c>
      <c r="C68" s="56"/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'[1]34тарифы'!D164*B13*1.1194*1.095</f>
        <v>2062.9670758298357</v>
      </c>
      <c r="C70" s="60"/>
      <c r="D70" s="73"/>
    </row>
    <row r="71" spans="1:4" ht="15.75" x14ac:dyDescent="0.25">
      <c r="A71" s="74" t="s">
        <v>290</v>
      </c>
      <c r="B71" s="11">
        <f>5.06*B15</f>
        <v>8911.1659999999993</v>
      </c>
      <c r="C71" s="81"/>
      <c r="D71" s="60"/>
    </row>
    <row r="72" spans="1:4" ht="15.75" x14ac:dyDescent="0.25">
      <c r="A72" s="74" t="s">
        <v>291</v>
      </c>
      <c r="B72" s="11">
        <f>17.68*B15</f>
        <v>31136.248</v>
      </c>
      <c r="C72" s="73"/>
      <c r="D72" s="60"/>
    </row>
    <row r="73" spans="1:4" ht="15.75" x14ac:dyDescent="0.25">
      <c r="A73" s="25" t="s">
        <v>292</v>
      </c>
      <c r="B73" s="11">
        <f>3052*1.04*1.1194*1.095</f>
        <v>3890.6063414399996</v>
      </c>
      <c r="C73" s="73"/>
      <c r="D73" s="60"/>
    </row>
    <row r="74" spans="1:4" ht="15.75" x14ac:dyDescent="0.25">
      <c r="A74" s="74" t="s">
        <v>293</v>
      </c>
      <c r="B74" s="11">
        <f>25770*1.04*1.1194*1.095</f>
        <v>32850.892994399997</v>
      </c>
      <c r="C74" s="73"/>
      <c r="D74" s="60"/>
    </row>
    <row r="75" spans="1:4" ht="47.25" x14ac:dyDescent="0.25">
      <c r="A75" s="213" t="s">
        <v>326</v>
      </c>
      <c r="B75" s="121">
        <f>SUM(B76:B76)</f>
        <v>56858.920628267726</v>
      </c>
      <c r="C75" s="73"/>
      <c r="D75" s="60"/>
    </row>
    <row r="76" spans="1:4" ht="15.75" x14ac:dyDescent="0.25">
      <c r="A76" s="74" t="s">
        <v>295</v>
      </c>
      <c r="B76" s="11">
        <f>'[1]34ОЭР'!D38*1.1194*1.095</f>
        <v>56858.920628267726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61231.210940473924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</f>
        <v>46515.021527454664</v>
      </c>
      <c r="C78" s="63"/>
      <c r="D78" s="60"/>
    </row>
    <row r="79" spans="1:4" ht="16.5" thickBot="1" x14ac:dyDescent="0.3">
      <c r="A79" s="35" t="s">
        <v>298</v>
      </c>
      <c r="B79" s="11">
        <f>(B26/1.2)*30%</f>
        <v>5047.0275000000011</v>
      </c>
      <c r="C79" s="65"/>
      <c r="D79" s="73"/>
    </row>
    <row r="80" spans="1:4" ht="15.75" x14ac:dyDescent="0.25">
      <c r="A80" s="83" t="s">
        <v>328</v>
      </c>
      <c r="B80" s="11">
        <f>3308.42+2688.14</f>
        <v>5996.5599999999995</v>
      </c>
      <c r="C80" s="81"/>
      <c r="D80" s="60"/>
    </row>
    <row r="81" spans="1:4" ht="15.75" x14ac:dyDescent="0.25">
      <c r="A81" s="83" t="s">
        <v>329</v>
      </c>
      <c r="B81" s="11">
        <f>'[1]34тарифы'!D173*B13*1.1194*1.095</f>
        <v>3672.6019130192572</v>
      </c>
      <c r="C81" s="73"/>
      <c r="D81" s="60"/>
    </row>
    <row r="82" spans="1:4" ht="15.75" x14ac:dyDescent="0.25">
      <c r="A82" s="214" t="s">
        <v>301</v>
      </c>
      <c r="B82" s="14">
        <f>B32+B42+B46+B66+B75+B77</f>
        <v>304782.32406961062</v>
      </c>
      <c r="C82" s="73"/>
      <c r="D82" s="60"/>
    </row>
    <row r="83" spans="1:4" ht="15.75" x14ac:dyDescent="0.25">
      <c r="A83" s="215" t="s">
        <v>302</v>
      </c>
      <c r="B83" s="11">
        <f>B82*0.03</f>
        <v>9143.469722088319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313925.79379169893</v>
      </c>
      <c r="C84" s="73"/>
      <c r="D84" s="60"/>
    </row>
    <row r="85" spans="1:4" ht="16.5" thickBot="1" x14ac:dyDescent="0.3">
      <c r="A85" s="217" t="s">
        <v>304</v>
      </c>
      <c r="B85" s="142">
        <f>B84*0.2</f>
        <v>62785.158758339792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376710.9525500387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-351957.25255003868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07000000}">
    <filterColumn colId="1">
      <filters>
        <filter val="1 317,14"/>
        <filter val="1 620,60"/>
        <filter val="103 923,82"/>
        <filter val="11 671,20"/>
        <filter val="15 912,00"/>
        <filter val="19 389,93"/>
        <filter val="19,40"/>
        <filter val="2 062,97"/>
        <filter val="21 721,58"/>
        <filter val="25 067,13"/>
        <filter val="25 106,06"/>
        <filter val="3 365,52"/>
        <filter val="3 384,48"/>
        <filter val="3 672,60"/>
        <filter val="3 890,61"/>
        <filter val="308 125,83"/>
        <filter val="31 133,54"/>
        <filter val="317 369,60"/>
        <filter val="32 850,89"/>
        <filter val="38 277,19"/>
        <filter val="380 843,52"/>
        <filter val="4 200,00"/>
        <filter val="-419 085,90"/>
        <filter val="46 515,02"/>
        <filter val="5 742,53"/>
        <filter val="5 996,56"/>
        <filter val="56 858,92"/>
        <filter val="6 100,00"/>
        <filter val="63 473,92"/>
        <filter val="64 569,90"/>
        <filter val="7 718,73"/>
        <filter val="8 385,72"/>
        <filter val="8 918,69"/>
        <filter val="9 243,77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0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filterMode="1">
    <pageSetUpPr fitToPage="1"/>
  </sheetPr>
  <dimension ref="A1:G95"/>
  <sheetViews>
    <sheetView view="pageBreakPreview" topLeftCell="A76" zoomScale="85" zoomScaleNormal="100" zoomScaleSheetLayoutView="85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218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-1102370.8500000001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2917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0</v>
      </c>
      <c r="C14" s="60"/>
      <c r="D14" s="59"/>
    </row>
    <row r="15" spans="1:4" ht="15.75" hidden="1" x14ac:dyDescent="0.25">
      <c r="A15" s="58" t="s">
        <v>237</v>
      </c>
      <c r="B15" s="11">
        <f>B13+B14</f>
        <v>2917</v>
      </c>
      <c r="C15" s="61"/>
      <c r="D15" s="62"/>
    </row>
    <row r="16" spans="1:4" ht="16.5" hidden="1" thickBot="1" x14ac:dyDescent="0.3">
      <c r="A16" s="58" t="s">
        <v>238</v>
      </c>
      <c r="B16" s="11">
        <f>1091+1551.9/3</f>
        <v>1608.3000000000002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809.9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1074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140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10</v>
      </c>
      <c r="F23" s="54">
        <v>2</v>
      </c>
      <c r="G23" s="54"/>
    </row>
    <row r="24" spans="1:7" ht="15.75" x14ac:dyDescent="0.25">
      <c r="A24" s="258" t="s">
        <v>317</v>
      </c>
      <c r="B24" s="255">
        <f>VLOOKUP(A5,мкд!W:X,2,FALSE)</f>
        <v>698543.34000000008</v>
      </c>
      <c r="C24" s="59"/>
      <c r="D24" s="62"/>
      <c r="E24" s="194">
        <v>15.48</v>
      </c>
      <c r="F24" s="195">
        <v>17.328312</v>
      </c>
      <c r="G24" s="54"/>
    </row>
    <row r="25" spans="1:7" ht="16.5" thickBot="1" x14ac:dyDescent="0.3">
      <c r="A25" s="64" t="s">
        <v>318</v>
      </c>
      <c r="B25" s="14">
        <f>VLOOKUP(A5,мкд!W:Y,3,FALSE)</f>
        <v>662723.43000000005</v>
      </c>
      <c r="C25" s="63"/>
      <c r="D25" s="62"/>
      <c r="E25" s="54"/>
      <c r="F25" s="54"/>
      <c r="G25" s="54"/>
    </row>
    <row r="26" spans="1:7" ht="15.75" hidden="1" x14ac:dyDescent="0.25">
      <c r="A26" s="64" t="s">
        <v>319</v>
      </c>
      <c r="B26" s="14"/>
      <c r="C26" s="57"/>
      <c r="D26" s="59"/>
      <c r="E26" s="54"/>
      <c r="F26" s="54"/>
      <c r="G26" s="54"/>
    </row>
    <row r="27" spans="1:7" ht="16.5" hidden="1" thickBot="1" x14ac:dyDescent="0.3">
      <c r="A27" s="64" t="s">
        <v>248</v>
      </c>
      <c r="B27" s="14">
        <f>B26</f>
        <v>0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1510.2</v>
      </c>
      <c r="C28" s="56"/>
      <c r="D28" s="62"/>
      <c r="E28" s="54"/>
      <c r="F28" s="54"/>
      <c r="G28" s="54"/>
    </row>
    <row r="29" spans="1:7" ht="16.5" hidden="1" thickBot="1" x14ac:dyDescent="0.3">
      <c r="A29" s="64" t="s">
        <v>468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69226.02</v>
      </c>
      <c r="C32" s="59"/>
      <c r="D32" s="62"/>
      <c r="E32" s="67">
        <f>(B86-B26-B24)/1.2/1.03</f>
        <v>249366.39120636231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v>35888.199999999997</v>
      </c>
      <c r="C33" s="63"/>
      <c r="D33" s="62">
        <v>13642.27</v>
      </c>
      <c r="E33" s="54"/>
      <c r="F33" s="54"/>
      <c r="G33" s="54"/>
    </row>
    <row r="34" spans="1:7" ht="15.75" hidden="1" x14ac:dyDescent="0.25">
      <c r="A34" s="69" t="s">
        <v>320</v>
      </c>
      <c r="B34" s="11">
        <v>0</v>
      </c>
      <c r="C34" s="57"/>
      <c r="D34" s="59">
        <v>0</v>
      </c>
      <c r="E34" s="54"/>
      <c r="F34" s="54"/>
      <c r="G34" s="54"/>
    </row>
    <row r="35" spans="1:7" ht="15.75" x14ac:dyDescent="0.25">
      <c r="A35" s="69" t="s">
        <v>256</v>
      </c>
      <c r="B35" s="11">
        <v>15119.27</v>
      </c>
      <c r="C35" s="62"/>
      <c r="D35" s="59">
        <v>0</v>
      </c>
      <c r="E35" s="54"/>
      <c r="F35" s="54"/>
      <c r="G35" s="54"/>
    </row>
    <row r="36" spans="1:7" ht="16.5" thickBot="1" x14ac:dyDescent="0.3">
      <c r="A36" s="69" t="s">
        <v>255</v>
      </c>
      <c r="B36" s="11">
        <v>18218.55</v>
      </c>
      <c r="C36" s="62" t="s">
        <v>234</v>
      </c>
      <c r="D36" s="59">
        <v>0</v>
      </c>
      <c r="E36" s="54"/>
      <c r="F36" s="54"/>
      <c r="G36" s="54"/>
    </row>
    <row r="37" spans="1:7" ht="16.5" hidden="1" thickBot="1" x14ac:dyDescent="0.3">
      <c r="A37" s="69" t="s">
        <v>257</v>
      </c>
      <c r="B37" s="11">
        <v>0</v>
      </c>
      <c r="C37" s="62"/>
      <c r="D37" s="59">
        <v>0</v>
      </c>
      <c r="E37" s="54"/>
      <c r="F37" s="54"/>
      <c r="G37" s="54"/>
    </row>
    <row r="38" spans="1:7" ht="16.5" hidden="1" thickBot="1" x14ac:dyDescent="0.3">
      <c r="A38" s="69" t="s">
        <v>258</v>
      </c>
      <c r="B38" s="11">
        <v>0</v>
      </c>
      <c r="C38" s="62"/>
      <c r="D38" s="59">
        <v>0</v>
      </c>
      <c r="E38" s="54"/>
      <c r="F38" s="54"/>
      <c r="G38" s="54"/>
    </row>
    <row r="39" spans="1:7" ht="16.5" hidden="1" thickBot="1" x14ac:dyDescent="0.3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6.5" hidden="1" thickBot="1" x14ac:dyDescent="0.3">
      <c r="A40" s="69" t="s">
        <v>310</v>
      </c>
      <c r="B40" s="11">
        <v>0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311</v>
      </c>
      <c r="B41" s="11">
        <v>0</v>
      </c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246074.897216907</v>
      </c>
      <c r="C42" s="56"/>
      <c r="D42" s="62"/>
      <c r="E42" s="67"/>
      <c r="F42" s="67"/>
      <c r="G42" s="67"/>
    </row>
    <row r="43" spans="1:7" ht="15.75" x14ac:dyDescent="0.25">
      <c r="A43" s="69" t="s">
        <v>262</v>
      </c>
      <c r="B43" s="11">
        <v>4896.13</v>
      </c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223717.38999999996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('[1]34тарифы'!D163*B15+122.83)*1.1194</f>
        <v>17461.377216907036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83392.31</v>
      </c>
      <c r="C46" s="56"/>
      <c r="D46" s="62"/>
    </row>
    <row r="47" spans="1:7" ht="15.75" x14ac:dyDescent="0.25">
      <c r="A47" s="69" t="s">
        <v>324</v>
      </c>
      <c r="B47" s="162">
        <v>3401.64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62">
        <v>4130.46</v>
      </c>
      <c r="C48" s="62"/>
      <c r="D48" s="59"/>
      <c r="E48" s="54" t="s">
        <v>269</v>
      </c>
      <c r="F48" s="54"/>
      <c r="G48" s="54"/>
    </row>
    <row r="49" spans="1:5" ht="15.75" x14ac:dyDescent="0.25">
      <c r="A49" s="75" t="s">
        <v>356</v>
      </c>
      <c r="B49" s="11">
        <v>80.53</v>
      </c>
      <c r="C49" s="62"/>
      <c r="D49" s="59"/>
      <c r="E49" s="54"/>
    </row>
    <row r="50" spans="1:5" ht="15.75" hidden="1" x14ac:dyDescent="0.25">
      <c r="A50" s="75" t="s">
        <v>271</v>
      </c>
      <c r="B50" s="11">
        <v>0</v>
      </c>
      <c r="C50" s="62"/>
      <c r="D50" s="59">
        <v>4190</v>
      </c>
      <c r="E50" s="54"/>
    </row>
    <row r="51" spans="1:5" ht="15.75" hidden="1" x14ac:dyDescent="0.25">
      <c r="A51" s="75" t="s">
        <v>272</v>
      </c>
      <c r="B51" s="11">
        <v>0</v>
      </c>
      <c r="C51" s="62"/>
      <c r="D51" s="59"/>
      <c r="E51" s="54"/>
    </row>
    <row r="52" spans="1:5" ht="15.75" hidden="1" x14ac:dyDescent="0.25">
      <c r="A52" s="75" t="s">
        <v>344</v>
      </c>
      <c r="B52" s="11">
        <v>0</v>
      </c>
      <c r="C52" s="62"/>
      <c r="D52" s="59">
        <v>105.14</v>
      </c>
      <c r="E52" s="54"/>
    </row>
    <row r="53" spans="1:5" ht="15.75" x14ac:dyDescent="0.25">
      <c r="A53" s="75" t="s">
        <v>343</v>
      </c>
      <c r="B53" s="11">
        <v>8133.61</v>
      </c>
      <c r="C53" s="62">
        <v>0</v>
      </c>
      <c r="D53" s="59">
        <v>522.99</v>
      </c>
      <c r="E53" s="54"/>
    </row>
    <row r="54" spans="1:5" ht="15.75" hidden="1" x14ac:dyDescent="0.25">
      <c r="A54" s="75" t="s">
        <v>469</v>
      </c>
      <c r="B54" s="11">
        <v>0</v>
      </c>
      <c r="C54" s="62">
        <v>1</v>
      </c>
      <c r="D54" s="76">
        <v>700.55</v>
      </c>
      <c r="E54" s="54"/>
    </row>
    <row r="55" spans="1:5" ht="15.75" x14ac:dyDescent="0.25">
      <c r="A55" s="75" t="s">
        <v>520</v>
      </c>
      <c r="B55" s="11">
        <v>4200</v>
      </c>
      <c r="C55" s="62"/>
      <c r="D55" s="76"/>
      <c r="E55" s="54"/>
    </row>
    <row r="56" spans="1:5" ht="15.75" x14ac:dyDescent="0.25">
      <c r="A56" s="75" t="s">
        <v>277</v>
      </c>
      <c r="B56" s="11">
        <v>50400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312</v>
      </c>
      <c r="B57" s="11">
        <v>0</v>
      </c>
      <c r="C57" s="62">
        <v>0</v>
      </c>
      <c r="D57" s="59">
        <f>2300/1.18</f>
        <v>1949.1525423728815</v>
      </c>
      <c r="E57" s="54"/>
    </row>
    <row r="58" spans="1:5" ht="15.75" hidden="1" x14ac:dyDescent="0.25">
      <c r="A58" s="75" t="s">
        <v>470</v>
      </c>
      <c r="B58" s="11"/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</row>
    <row r="60" spans="1:5" ht="15.75" hidden="1" x14ac:dyDescent="0.25">
      <c r="A60" s="69" t="s">
        <v>279</v>
      </c>
      <c r="B60" s="11">
        <v>0</v>
      </c>
      <c r="C60" s="57"/>
      <c r="D60" s="59"/>
      <c r="E60" s="54"/>
    </row>
    <row r="61" spans="1:5" ht="15.75" hidden="1" x14ac:dyDescent="0.25">
      <c r="A61" s="69" t="s">
        <v>280</v>
      </c>
      <c r="B61" s="11">
        <v>0</v>
      </c>
      <c r="C61" s="62"/>
      <c r="D61" s="59">
        <v>0</v>
      </c>
      <c r="E61" s="54"/>
    </row>
    <row r="62" spans="1:5" ht="15.75" hidden="1" x14ac:dyDescent="0.25">
      <c r="A62" s="69" t="s">
        <v>471</v>
      </c>
      <c r="B62" s="11"/>
      <c r="C62" s="62"/>
      <c r="D62" s="59">
        <v>0</v>
      </c>
      <c r="E62" s="54"/>
    </row>
    <row r="63" spans="1:5" ht="16.5" thickBot="1" x14ac:dyDescent="0.3">
      <c r="A63" s="69" t="s">
        <v>325</v>
      </c>
      <c r="B63" s="132">
        <v>13046.07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59</v>
      </c>
      <c r="D64" s="62">
        <v>2</v>
      </c>
      <c r="E64" s="54">
        <v>0</v>
      </c>
    </row>
    <row r="65" spans="1:4" ht="16.5" hidden="1" thickBot="1" x14ac:dyDescent="0.3">
      <c r="A65" s="69" t="s">
        <v>284</v>
      </c>
      <c r="B65" s="132">
        <v>0</v>
      </c>
      <c r="C65" s="80"/>
      <c r="D65" s="73">
        <v>0</v>
      </c>
    </row>
    <row r="66" spans="1:4" s="55" customFormat="1" ht="16.5" thickBot="1" x14ac:dyDescent="0.3">
      <c r="A66" s="175" t="s">
        <v>285</v>
      </c>
      <c r="B66" s="121">
        <f>SUM(B67:B74)</f>
        <v>205805.76252709274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58561.68*1.04*1.1194*1.0952</f>
        <v>74666.467321844728</v>
      </c>
      <c r="C68" s="56"/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3937.9500000000003</v>
      </c>
      <c r="C70" s="60"/>
      <c r="D70" s="73"/>
    </row>
    <row r="71" spans="1:4" ht="15.75" x14ac:dyDescent="0.25">
      <c r="A71" s="74" t="s">
        <v>290</v>
      </c>
      <c r="B71" s="11">
        <f>5.06*B15</f>
        <v>14760.019999999999</v>
      </c>
      <c r="C71" s="81"/>
      <c r="D71" s="60"/>
    </row>
    <row r="72" spans="1:4" ht="15.75" x14ac:dyDescent="0.25">
      <c r="A72" s="74" t="s">
        <v>291</v>
      </c>
      <c r="B72" s="11">
        <f>17.68*B15</f>
        <v>51572.56</v>
      </c>
      <c r="C72" s="73"/>
      <c r="D72" s="60"/>
    </row>
    <row r="73" spans="1:4" ht="15.75" x14ac:dyDescent="0.25">
      <c r="A73" s="25" t="s">
        <v>292</v>
      </c>
      <c r="B73" s="11">
        <f>5055*1.04*1.1194*1.0952</f>
        <v>6445.1530815359993</v>
      </c>
      <c r="C73" s="73"/>
      <c r="D73" s="60"/>
    </row>
    <row r="74" spans="1:4" ht="15.75" x14ac:dyDescent="0.25">
      <c r="A74" s="74" t="s">
        <v>293</v>
      </c>
      <c r="B74" s="11">
        <f>42685*1.04*1.1194*1.0952</f>
        <v>54423.612123711995</v>
      </c>
      <c r="C74" s="73"/>
      <c r="D74" s="60"/>
    </row>
    <row r="75" spans="1:4" ht="47.25" x14ac:dyDescent="0.25">
      <c r="A75" s="213" t="s">
        <v>326</v>
      </c>
      <c r="B75" s="121">
        <f>SUM(B76:B76)</f>
        <v>108664.8533176683</v>
      </c>
      <c r="C75" s="73"/>
      <c r="D75" s="60"/>
    </row>
    <row r="76" spans="1:4" ht="15.75" x14ac:dyDescent="0.25">
      <c r="A76" s="74" t="s">
        <v>295</v>
      </c>
      <c r="B76" s="11">
        <f>'[1]34ОЭР'!D247*1.1194*1.0952</f>
        <v>108664.8533176683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101367.062707801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'[1]34тарифы'!D170*B15*1.1194*1.0952</f>
        <v>77059.281312465813</v>
      </c>
      <c r="C78" s="63"/>
      <c r="D78" s="60"/>
    </row>
    <row r="79" spans="1:4" ht="16.5" hidden="1" thickBot="1" x14ac:dyDescent="0.3">
      <c r="A79" s="35" t="s">
        <v>298</v>
      </c>
      <c r="B79" s="11">
        <f>(B26/1.2)*30%</f>
        <v>0</v>
      </c>
      <c r="C79" s="65"/>
      <c r="D79" s="73"/>
    </row>
    <row r="80" spans="1:4" ht="15.75" x14ac:dyDescent="0.25">
      <c r="A80" s="83" t="s">
        <v>328</v>
      </c>
      <c r="B80" s="11">
        <f>8683.11+9151.87</f>
        <v>17834.980000000003</v>
      </c>
      <c r="C80" s="81"/>
      <c r="D80" s="60"/>
    </row>
    <row r="81" spans="1:4" ht="15.75" x14ac:dyDescent="0.25">
      <c r="A81" s="222" t="s">
        <v>329</v>
      </c>
      <c r="B81" s="11">
        <f>'[1]34тарифы'!D173*B13*1.1194*1.01</f>
        <v>6472.8013953351701</v>
      </c>
      <c r="C81" s="73"/>
      <c r="D81" s="60"/>
    </row>
    <row r="82" spans="1:4" ht="15.75" x14ac:dyDescent="0.25">
      <c r="A82" s="214" t="s">
        <v>301</v>
      </c>
      <c r="B82" s="14">
        <f>B32+B42+B46+B66+B75+B77</f>
        <v>814530.9057694691</v>
      </c>
      <c r="C82" s="73"/>
      <c r="D82" s="60"/>
    </row>
    <row r="83" spans="1:4" ht="15.75" x14ac:dyDescent="0.25">
      <c r="A83" s="215" t="s">
        <v>302</v>
      </c>
      <c r="B83" s="11">
        <f>B82*0.03</f>
        <v>24435.927173084074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838966.83294255321</v>
      </c>
      <c r="C84" s="73"/>
      <c r="D84" s="60"/>
    </row>
    <row r="85" spans="1:4" ht="16.5" thickBot="1" x14ac:dyDescent="0.3">
      <c r="A85" s="217" t="s">
        <v>304</v>
      </c>
      <c r="B85" s="142">
        <f>B84*0.2</f>
        <v>167793.36658851066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1006760.1995310639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-1409077.509531064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4F000000}">
    <filterColumn colId="1">
      <filters>
        <filter val="1 006 760,20"/>
        <filter val="-1 409 077,51"/>
        <filter val="101 367,06"/>
        <filter val="108 664,85"/>
        <filter val="13 046,07"/>
        <filter val="14 760,02"/>
        <filter val="15 119,27"/>
        <filter val="167 793,37"/>
        <filter val="17 461,38"/>
        <filter val="17 834,98"/>
        <filter val="18 218,55"/>
        <filter val="205 805,76"/>
        <filter val="223 717,39"/>
        <filter val="24 435,93"/>
        <filter val="246 074,90"/>
        <filter val="3 401,64"/>
        <filter val="3 937,95"/>
        <filter val="35 888,20"/>
        <filter val="4 130,46"/>
        <filter val="4 200,00"/>
        <filter val="4 896,13"/>
        <filter val="50 400,00"/>
        <filter val="51 572,56"/>
        <filter val="54 423,61"/>
        <filter val="6 445,15"/>
        <filter val="6 472,80"/>
        <filter val="69 226,02"/>
        <filter val="74 666,47"/>
        <filter val="77 059,28"/>
        <filter val="8 133,61"/>
        <filter val="80,53"/>
        <filter val="814 530,91"/>
        <filter val="83 392,31"/>
        <filter val="838 966,83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filterMode="1">
    <pageSetUpPr fitToPage="1"/>
  </sheetPr>
  <dimension ref="A1:G95"/>
  <sheetViews>
    <sheetView view="pageBreakPreview" topLeftCell="A63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80"/>
      <c r="C1" s="54"/>
      <c r="D1" s="54"/>
    </row>
    <row r="2" spans="1:4" ht="16.5" x14ac:dyDescent="0.25">
      <c r="A2" s="281" t="s">
        <v>225</v>
      </c>
      <c r="B2" s="281"/>
      <c r="C2" s="54"/>
      <c r="D2" s="54"/>
    </row>
    <row r="3" spans="1:4" ht="16.5" x14ac:dyDescent="0.25">
      <c r="A3" s="281" t="s">
        <v>226</v>
      </c>
      <c r="B3" s="281"/>
      <c r="C3" s="54"/>
      <c r="D3" s="54"/>
    </row>
    <row r="4" spans="1:4" ht="15.75" x14ac:dyDescent="0.25">
      <c r="A4" s="201" t="s">
        <v>494</v>
      </c>
      <c r="B4" s="201"/>
      <c r="C4" s="54"/>
      <c r="D4" s="54"/>
    </row>
    <row r="5" spans="1:4" ht="15.75" x14ac:dyDescent="0.25">
      <c r="A5" s="201" t="s">
        <v>201</v>
      </c>
      <c r="B5" s="201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-1679620.13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11">
        <v>1737.2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11">
        <v>35.1</v>
      </c>
      <c r="C14" s="60"/>
      <c r="D14" s="59"/>
    </row>
    <row r="15" spans="1:4" ht="15.75" hidden="1" x14ac:dyDescent="0.25">
      <c r="A15" s="58" t="s">
        <v>237</v>
      </c>
      <c r="B15" s="11">
        <f>B13+B14</f>
        <v>1772.3</v>
      </c>
      <c r="C15" s="61"/>
      <c r="D15" s="62"/>
    </row>
    <row r="16" spans="1:4" ht="16.5" hidden="1" thickBot="1" x14ac:dyDescent="0.3">
      <c r="A16" s="58" t="s">
        <v>238</v>
      </c>
      <c r="B16" s="11">
        <f>1202+897.2/3</f>
        <v>1501.0666666666666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11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11">
        <v>174.2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11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11">
        <v>670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11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11">
        <v>95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/>
      <c r="F23" s="54"/>
      <c r="G23" s="54"/>
    </row>
    <row r="24" spans="1:7" ht="15.75" x14ac:dyDescent="0.25">
      <c r="A24" s="258" t="s">
        <v>317</v>
      </c>
      <c r="B24" s="255">
        <f>VLOOKUP(A5,мкд!W:X,2,FALSE)</f>
        <v>373254.36000000004</v>
      </c>
      <c r="C24" s="59"/>
      <c r="D24" s="62"/>
      <c r="E24" s="54">
        <v>14.06</v>
      </c>
      <c r="F24" s="54"/>
      <c r="G24" s="54"/>
    </row>
    <row r="25" spans="1:7" ht="16.5" thickBot="1" x14ac:dyDescent="0.3">
      <c r="A25" s="64" t="s">
        <v>318</v>
      </c>
      <c r="B25" s="14">
        <f>VLOOKUP(A5,мкд!W:Y,3,FALSE)</f>
        <v>369772.92</v>
      </c>
      <c r="C25" s="63"/>
      <c r="D25" s="62"/>
      <c r="E25" s="54"/>
      <c r="F25" s="54"/>
      <c r="G25" s="54"/>
    </row>
    <row r="26" spans="1:7" ht="15.75" x14ac:dyDescent="0.25">
      <c r="A26" s="64" t="s">
        <v>348</v>
      </c>
      <c r="B26" s="14">
        <v>6433.9</v>
      </c>
      <c r="C26" s="57"/>
      <c r="D26" s="59"/>
      <c r="E26" s="54"/>
      <c r="F26" s="54"/>
      <c r="G26" s="54"/>
    </row>
    <row r="27" spans="1:7" ht="16.5" thickBot="1" x14ac:dyDescent="0.3">
      <c r="A27" s="64" t="s">
        <v>349</v>
      </c>
      <c r="B27" s="14">
        <v>8822.35</v>
      </c>
      <c r="C27" s="60"/>
      <c r="D27" s="59"/>
      <c r="E27" s="54"/>
      <c r="F27" s="54"/>
      <c r="G27" s="54"/>
    </row>
    <row r="28" spans="1:7" ht="16.5" thickBot="1" x14ac:dyDescent="0.3">
      <c r="A28" s="64" t="s">
        <v>249</v>
      </c>
      <c r="B28" s="14">
        <v>5781.36</v>
      </c>
      <c r="C28" s="56"/>
      <c r="D28" s="62"/>
      <c r="E28" s="54"/>
      <c r="F28" s="54"/>
      <c r="G28" s="54"/>
    </row>
    <row r="29" spans="1:7" ht="16.5" thickBot="1" x14ac:dyDescent="0.3">
      <c r="A29" s="64" t="s">
        <v>250</v>
      </c>
      <c r="B29" s="14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73236.639999999999</v>
      </c>
      <c r="C32" s="59"/>
      <c r="D32" s="62"/>
      <c r="E32" s="67">
        <f>(B86-B26-B24)/1.2/1.03</f>
        <v>144086.04540673277</v>
      </c>
      <c r="F32" s="67" t="e">
        <f>(#REF!-#REF!-#REF!)/1.2/1.03</f>
        <v>#REF!</v>
      </c>
      <c r="G32" s="67" t="e">
        <f>(#REF!-#REF!-#REF!)/1.2/1.03</f>
        <v>#REF!</v>
      </c>
    </row>
    <row r="33" spans="1:7" ht="16.5" thickBot="1" x14ac:dyDescent="0.3">
      <c r="A33" s="69" t="s">
        <v>253</v>
      </c>
      <c r="B33" s="11">
        <v>32418.620000000003</v>
      </c>
      <c r="C33" s="63"/>
      <c r="D33" s="62">
        <v>15644.13</v>
      </c>
      <c r="E33" s="54"/>
      <c r="F33" s="54"/>
      <c r="G33" s="54"/>
    </row>
    <row r="34" spans="1:7" ht="15.75" hidden="1" x14ac:dyDescent="0.25">
      <c r="A34" s="69" t="s">
        <v>257</v>
      </c>
      <c r="B34" s="11">
        <v>0</v>
      </c>
      <c r="C34" s="57"/>
      <c r="D34" s="59">
        <v>0</v>
      </c>
      <c r="E34" s="54"/>
      <c r="F34" s="54"/>
      <c r="G34" s="54"/>
    </row>
    <row r="35" spans="1:7" ht="15.75" x14ac:dyDescent="0.25">
      <c r="A35" s="69" t="s">
        <v>256</v>
      </c>
      <c r="B35" s="11">
        <v>37535.409999999996</v>
      </c>
      <c r="C35" s="62"/>
      <c r="D35" s="59">
        <v>0</v>
      </c>
      <c r="E35" s="54"/>
      <c r="F35" s="54"/>
      <c r="G35" s="54"/>
    </row>
    <row r="36" spans="1:7" ht="15.75" hidden="1" x14ac:dyDescent="0.25">
      <c r="A36" s="69" t="s">
        <v>255</v>
      </c>
      <c r="B36" s="11"/>
      <c r="C36" s="62" t="s">
        <v>234</v>
      </c>
      <c r="D36" s="59">
        <v>0</v>
      </c>
      <c r="E36" s="54"/>
      <c r="F36" s="54"/>
      <c r="G36" s="54"/>
    </row>
    <row r="37" spans="1:7" ht="16.5" thickBot="1" x14ac:dyDescent="0.3">
      <c r="A37" s="69" t="s">
        <v>257</v>
      </c>
      <c r="B37" s="11">
        <v>3282.61</v>
      </c>
      <c r="C37" s="62"/>
      <c r="D37" s="59">
        <v>0</v>
      </c>
      <c r="E37" s="54"/>
      <c r="F37" s="54"/>
      <c r="G37" s="54"/>
    </row>
    <row r="38" spans="1:7" ht="16.5" hidden="1" thickBot="1" x14ac:dyDescent="0.3">
      <c r="A38" s="69" t="s">
        <v>462</v>
      </c>
      <c r="B38" s="11">
        <v>0</v>
      </c>
      <c r="C38" s="62"/>
      <c r="D38" s="59">
        <v>0</v>
      </c>
      <c r="E38" s="54"/>
      <c r="F38" s="54"/>
      <c r="G38" s="54"/>
    </row>
    <row r="39" spans="1:7" ht="16.5" hidden="1" thickBot="1" x14ac:dyDescent="0.3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6.5" hidden="1" thickBot="1" x14ac:dyDescent="0.3">
      <c r="A40" s="69" t="s">
        <v>463</v>
      </c>
      <c r="B40" s="11">
        <v>0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464</v>
      </c>
      <c r="B41" s="11">
        <v>0</v>
      </c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20915.540315050246</v>
      </c>
      <c r="C42" s="56"/>
      <c r="D42" s="62"/>
      <c r="E42" s="67"/>
      <c r="F42" s="67"/>
      <c r="G42" s="67"/>
    </row>
    <row r="43" spans="1:7" ht="15.75" hidden="1" x14ac:dyDescent="0.25">
      <c r="A43" s="69" t="s">
        <v>262</v>
      </c>
      <c r="B43" s="11">
        <v>0</v>
      </c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9104.09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('[1]34тарифы'!D163*B15+231.52)*1.1194*1.0952</f>
        <v>11811.450315050246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73680.299999999988</v>
      </c>
      <c r="C46" s="56"/>
      <c r="D46" s="62"/>
    </row>
    <row r="47" spans="1:7" ht="15.75" x14ac:dyDescent="0.25">
      <c r="A47" s="69" t="s">
        <v>324</v>
      </c>
      <c r="B47" s="165">
        <v>731.64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65">
        <v>888.42</v>
      </c>
      <c r="C48" s="62"/>
      <c r="D48" s="59"/>
      <c r="E48" s="54" t="s">
        <v>269</v>
      </c>
      <c r="F48" s="54"/>
      <c r="G48" s="54">
        <v>101098</v>
      </c>
    </row>
    <row r="49" spans="1:5" ht="15.75" x14ac:dyDescent="0.25">
      <c r="A49" s="75" t="s">
        <v>281</v>
      </c>
      <c r="B49" s="11">
        <v>157.44999999999999</v>
      </c>
      <c r="C49" s="62"/>
      <c r="D49" s="59"/>
      <c r="E49" s="54"/>
    </row>
    <row r="50" spans="1:5" ht="15.75" hidden="1" x14ac:dyDescent="0.25">
      <c r="A50" s="75" t="s">
        <v>465</v>
      </c>
      <c r="B50" s="162">
        <v>0</v>
      </c>
      <c r="C50" s="62"/>
      <c r="D50" s="59">
        <v>4190</v>
      </c>
      <c r="E50" s="54"/>
    </row>
    <row r="51" spans="1:5" ht="15.75" hidden="1" x14ac:dyDescent="0.25">
      <c r="A51" s="75" t="s">
        <v>388</v>
      </c>
      <c r="B51" s="11">
        <v>0</v>
      </c>
      <c r="C51" s="62"/>
      <c r="D51" s="59"/>
      <c r="E51" s="54"/>
    </row>
    <row r="52" spans="1:5" ht="15.75" x14ac:dyDescent="0.25">
      <c r="A52" s="75" t="s">
        <v>520</v>
      </c>
      <c r="B52" s="11">
        <v>4200</v>
      </c>
      <c r="C52" s="62"/>
      <c r="D52" s="59">
        <v>105.14</v>
      </c>
      <c r="E52" s="54"/>
    </row>
    <row r="53" spans="1:5" ht="15.75" hidden="1" x14ac:dyDescent="0.25">
      <c r="A53" s="75" t="s">
        <v>343</v>
      </c>
      <c r="B53" s="11">
        <v>0</v>
      </c>
      <c r="C53" s="62">
        <v>0</v>
      </c>
      <c r="D53" s="59">
        <v>522.99</v>
      </c>
      <c r="E53" s="54"/>
    </row>
    <row r="54" spans="1:5" ht="15.75" x14ac:dyDescent="0.25">
      <c r="A54" s="75" t="s">
        <v>275</v>
      </c>
      <c r="B54" s="11">
        <v>8133.61</v>
      </c>
      <c r="C54" s="62">
        <v>1</v>
      </c>
      <c r="D54" s="76">
        <v>695.13</v>
      </c>
      <c r="E54" s="54"/>
    </row>
    <row r="55" spans="1:5" ht="15.75" hidden="1" x14ac:dyDescent="0.25">
      <c r="A55" s="75" t="s">
        <v>427</v>
      </c>
      <c r="B55" s="11">
        <v>0</v>
      </c>
      <c r="C55" s="62"/>
      <c r="D55" s="76"/>
      <c r="E55" s="54"/>
    </row>
    <row r="56" spans="1:5" ht="15.75" hidden="1" x14ac:dyDescent="0.25">
      <c r="A56" s="75" t="s">
        <v>277</v>
      </c>
      <c r="B56" s="11">
        <v>0</v>
      </c>
      <c r="C56" s="62">
        <v>1</v>
      </c>
      <c r="D56" s="59">
        <v>5306.39</v>
      </c>
      <c r="E56" s="54"/>
    </row>
    <row r="57" spans="1:5" ht="15.75" hidden="1" x14ac:dyDescent="0.25">
      <c r="A57" s="75" t="s">
        <v>466</v>
      </c>
      <c r="B57" s="11">
        <v>0</v>
      </c>
      <c r="C57" s="62">
        <v>0</v>
      </c>
      <c r="D57" s="59">
        <f>2300/1.18</f>
        <v>1949.1525423728815</v>
      </c>
      <c r="E57" s="54"/>
    </row>
    <row r="58" spans="1:5" ht="15.75" x14ac:dyDescent="0.25">
      <c r="A58" s="75" t="s">
        <v>467</v>
      </c>
      <c r="B58" s="11">
        <v>50400</v>
      </c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11">
        <f>B13*'[1]34тарифы'!D184</f>
        <v>0</v>
      </c>
      <c r="C59" s="56"/>
      <c r="D59" s="62"/>
      <c r="E59" s="54"/>
    </row>
    <row r="60" spans="1:5" ht="15.75" hidden="1" x14ac:dyDescent="0.25">
      <c r="A60" s="69" t="s">
        <v>279</v>
      </c>
      <c r="B60" s="11">
        <v>0</v>
      </c>
      <c r="C60" s="57"/>
      <c r="D60" s="59"/>
      <c r="E60" s="54"/>
    </row>
    <row r="61" spans="1:5" ht="15.75" hidden="1" x14ac:dyDescent="0.25">
      <c r="A61" s="69" t="s">
        <v>280</v>
      </c>
      <c r="B61" s="11">
        <v>0</v>
      </c>
      <c r="C61" s="62"/>
      <c r="D61" s="59">
        <v>33500</v>
      </c>
      <c r="E61" s="54"/>
    </row>
    <row r="62" spans="1:5" ht="15.75" hidden="1" x14ac:dyDescent="0.25">
      <c r="A62" s="69" t="s">
        <v>336</v>
      </c>
      <c r="B62" s="11">
        <v>0</v>
      </c>
      <c r="C62" s="62"/>
      <c r="D62" s="59">
        <v>0</v>
      </c>
      <c r="E62" s="54"/>
    </row>
    <row r="63" spans="1:5" ht="16.5" thickBot="1" x14ac:dyDescent="0.3">
      <c r="A63" s="69" t="s">
        <v>282</v>
      </c>
      <c r="B63" s="132">
        <v>9169.18</v>
      </c>
      <c r="C63" s="78">
        <v>1</v>
      </c>
      <c r="D63" s="59">
        <v>0</v>
      </c>
      <c r="E63" s="54"/>
    </row>
    <row r="64" spans="1:5" ht="16.5" hidden="1" thickBot="1" x14ac:dyDescent="0.3">
      <c r="A64" s="69" t="s">
        <v>283</v>
      </c>
      <c r="B64" s="132">
        <v>0</v>
      </c>
      <c r="C64" s="79">
        <v>39</v>
      </c>
      <c r="D64" s="62">
        <v>1</v>
      </c>
      <c r="E64" s="54">
        <v>0</v>
      </c>
    </row>
    <row r="65" spans="1:4" ht="16.5" hidden="1" thickBot="1" x14ac:dyDescent="0.3">
      <c r="A65" s="69" t="s">
        <v>284</v>
      </c>
      <c r="B65" s="132">
        <v>0</v>
      </c>
      <c r="C65" s="80"/>
      <c r="D65" s="73">
        <v>0</v>
      </c>
    </row>
    <row r="66" spans="1:4" s="55" customFormat="1" ht="16.5" thickBot="1" x14ac:dyDescent="0.3">
      <c r="A66" s="175" t="s">
        <v>285</v>
      </c>
      <c r="B66" s="121">
        <f>SUM(B67:B74)</f>
        <v>149611.76408768445</v>
      </c>
      <c r="C66" s="56"/>
      <c r="D66" s="60"/>
    </row>
    <row r="67" spans="1:4" ht="16.5" hidden="1" thickBot="1" x14ac:dyDescent="0.3">
      <c r="A67" s="69" t="s">
        <v>286</v>
      </c>
      <c r="B67" s="11">
        <v>0</v>
      </c>
      <c r="C67" s="65"/>
      <c r="D67" s="73"/>
    </row>
    <row r="68" spans="1:4" ht="16.5" thickBot="1" x14ac:dyDescent="0.3">
      <c r="A68" s="69" t="s">
        <v>287</v>
      </c>
      <c r="B68" s="11">
        <f>54851.15*1.04*1.1194*1.0952</f>
        <v>69935.520959108471</v>
      </c>
      <c r="C68" s="56"/>
      <c r="D68" s="60"/>
    </row>
    <row r="69" spans="1:4" ht="15.75" hidden="1" x14ac:dyDescent="0.25">
      <c r="A69" s="69" t="s">
        <v>288</v>
      </c>
      <c r="B69" s="11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2392.605</v>
      </c>
      <c r="C70" s="60"/>
      <c r="D70" s="73"/>
    </row>
    <row r="71" spans="1:4" ht="15.75" x14ac:dyDescent="0.25">
      <c r="A71" s="74" t="s">
        <v>290</v>
      </c>
      <c r="B71" s="11">
        <f>5.06*B15</f>
        <v>8967.8379999999997</v>
      </c>
      <c r="C71" s="81"/>
      <c r="D71" s="60"/>
    </row>
    <row r="72" spans="1:4" ht="15.75" x14ac:dyDescent="0.25">
      <c r="A72" s="74" t="s">
        <v>291</v>
      </c>
      <c r="B72" s="11">
        <f>17.68*B15</f>
        <v>31334.263999999999</v>
      </c>
      <c r="C72" s="73"/>
      <c r="D72" s="60"/>
    </row>
    <row r="73" spans="1:4" ht="15.75" x14ac:dyDescent="0.25">
      <c r="A73" s="25" t="s">
        <v>292</v>
      </c>
      <c r="B73" s="11">
        <f>3071*1.04*1.1194*1.0952</f>
        <v>3915.5420600191997</v>
      </c>
      <c r="C73" s="73"/>
      <c r="D73" s="60"/>
    </row>
    <row r="74" spans="1:4" ht="15.75" x14ac:dyDescent="0.25">
      <c r="A74" s="74" t="s">
        <v>293</v>
      </c>
      <c r="B74" s="11">
        <f>25934*1.04*1.1194*1.0952</f>
        <v>33065.9940685568</v>
      </c>
      <c r="C74" s="73"/>
      <c r="D74" s="60"/>
    </row>
    <row r="75" spans="1:4" ht="47.25" x14ac:dyDescent="0.25">
      <c r="A75" s="213" t="s">
        <v>326</v>
      </c>
      <c r="B75" s="121">
        <f>SUM(B76:B76)</f>
        <v>72441.559689940928</v>
      </c>
      <c r="C75" s="73"/>
      <c r="D75" s="60"/>
    </row>
    <row r="76" spans="1:4" ht="15.75" x14ac:dyDescent="0.25">
      <c r="A76" s="74" t="s">
        <v>295</v>
      </c>
      <c r="B76" s="11">
        <f>'[1]34ОЭР'!D231*1.1194*1.1194*1.0952</f>
        <v>72441.559689940928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61391.390181371069</v>
      </c>
      <c r="C77" s="73"/>
      <c r="D77" s="60"/>
    </row>
    <row r="78" spans="1:4" ht="32.25" thickBot="1" x14ac:dyDescent="0.3">
      <c r="A78" s="82" t="s">
        <v>327</v>
      </c>
      <c r="B78" s="11">
        <f>'[1]34тарифы'!D170*B15*1.1194*1.0952</f>
        <v>46819.391247885891</v>
      </c>
      <c r="C78" s="63"/>
      <c r="D78" s="60"/>
    </row>
    <row r="79" spans="1:4" ht="16.5" thickBot="1" x14ac:dyDescent="0.3">
      <c r="A79" s="35" t="s">
        <v>298</v>
      </c>
      <c r="B79" s="11">
        <f>(B26/1.2)*30%</f>
        <v>1608.4749999999999</v>
      </c>
      <c r="C79" s="65"/>
      <c r="D79" s="73"/>
    </row>
    <row r="80" spans="1:4" ht="15.75" x14ac:dyDescent="0.25">
      <c r="A80" s="83" t="s">
        <v>328</v>
      </c>
      <c r="B80" s="11">
        <f>5367.06+3741.63</f>
        <v>9108.69</v>
      </c>
      <c r="C80" s="81"/>
      <c r="D80" s="60"/>
    </row>
    <row r="81" spans="1:4" ht="15.75" x14ac:dyDescent="0.25">
      <c r="A81" s="83" t="s">
        <v>329</v>
      </c>
      <c r="B81" s="11">
        <f>'[1]34тарифы'!D173*B13*1.1194*1.01</f>
        <v>3854.8339334851767</v>
      </c>
      <c r="C81" s="73"/>
      <c r="D81" s="60"/>
    </row>
    <row r="82" spans="1:4" ht="15.75" x14ac:dyDescent="0.25">
      <c r="A82" s="214" t="s">
        <v>301</v>
      </c>
      <c r="B82" s="14">
        <f>B32+B42+B46+B66+B75+B77</f>
        <v>451277.19427404669</v>
      </c>
      <c r="C82" s="73"/>
      <c r="D82" s="60"/>
    </row>
    <row r="83" spans="1:4" ht="15.75" x14ac:dyDescent="0.25">
      <c r="A83" s="215" t="s">
        <v>302</v>
      </c>
      <c r="B83" s="11">
        <f>B82*0.03</f>
        <v>13538.315828221401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464815.51010226808</v>
      </c>
      <c r="C84" s="73"/>
      <c r="D84" s="60"/>
    </row>
    <row r="85" spans="1:4" ht="16.5" thickBot="1" x14ac:dyDescent="0.3">
      <c r="A85" s="217" t="s">
        <v>304</v>
      </c>
      <c r="B85" s="142">
        <f>B84*0.2</f>
        <v>92963.102020453618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557778.61212272174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-1851929.1221227215</v>
      </c>
      <c r="C87" s="85"/>
      <c r="D87" s="86"/>
    </row>
    <row r="88" spans="1:4" s="55" customFormat="1" ht="16.5" hidden="1" thickBot="1" x14ac:dyDescent="0.3">
      <c r="A88" s="87" t="s">
        <v>307</v>
      </c>
      <c r="B88" s="46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78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50000000}">
    <filterColumn colId="1">
      <filters>
        <filter val="1 608,48"/>
        <filter val="-1 851 929,12"/>
        <filter val="11 811,45"/>
        <filter val="13 538,32"/>
        <filter val="149 611,76"/>
        <filter val="157,45"/>
        <filter val="2 392,61"/>
        <filter val="20 915,54"/>
        <filter val="3 282,61"/>
        <filter val="3 854,83"/>
        <filter val="3 915,54"/>
        <filter val="31 334,26"/>
        <filter val="32 418,62"/>
        <filter val="33 065,99"/>
        <filter val="37 535,41"/>
        <filter val="4 200,00"/>
        <filter val="451 277,19"/>
        <filter val="46 819,39"/>
        <filter val="464 815,51"/>
        <filter val="50 400,00"/>
        <filter val="557 778,61"/>
        <filter val="61 391,39"/>
        <filter val="69 935,52"/>
        <filter val="72 441,56"/>
        <filter val="73 236,64"/>
        <filter val="73 680,30"/>
        <filter val="731,64"/>
        <filter val="8 133,61"/>
        <filter val="8 967,84"/>
        <filter val="888,42"/>
        <filter val="9 104,09"/>
        <filter val="9 108,69"/>
        <filter val="9 169,18"/>
        <filter val="92 963,1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pageSetUpPr fitToPage="1"/>
  </sheetPr>
  <dimension ref="A1:G95"/>
  <sheetViews>
    <sheetView view="pageBreakPreview" topLeftCell="A80" zoomScale="80" zoomScaleNormal="100" zoomScaleSheetLayoutView="80" workbookViewId="0">
      <selection activeCell="A24" sqref="A24:B24"/>
    </sheetView>
  </sheetViews>
  <sheetFormatPr defaultRowHeight="12.75" x14ac:dyDescent="0.2"/>
  <cols>
    <col min="1" max="1" width="93.28515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280" t="s">
        <v>224</v>
      </c>
      <c r="B1" s="269"/>
      <c r="C1" s="54"/>
      <c r="D1" s="54"/>
    </row>
    <row r="2" spans="1:4" ht="16.5" x14ac:dyDescent="0.25">
      <c r="A2" s="281" t="s">
        <v>225</v>
      </c>
      <c r="B2" s="270"/>
      <c r="C2" s="54"/>
      <c r="D2" s="54"/>
    </row>
    <row r="3" spans="1:4" ht="16.5" x14ac:dyDescent="0.25">
      <c r="A3" s="281" t="s">
        <v>226</v>
      </c>
      <c r="B3" s="270"/>
      <c r="C3" s="54"/>
      <c r="D3" s="54"/>
    </row>
    <row r="4" spans="1:4" ht="15.75" x14ac:dyDescent="0.25">
      <c r="A4" s="201" t="s">
        <v>494</v>
      </c>
      <c r="B4" s="184"/>
      <c r="C4" s="54"/>
      <c r="D4" s="54"/>
    </row>
    <row r="5" spans="1:4" ht="15.75" x14ac:dyDescent="0.25">
      <c r="A5" s="201" t="s">
        <v>19</v>
      </c>
      <c r="B5" s="185"/>
      <c r="C5" s="54"/>
      <c r="D5" s="54"/>
    </row>
    <row r="6" spans="1:4" ht="5.25" customHeight="1" x14ac:dyDescent="0.25">
      <c r="A6" s="201"/>
      <c r="B6" s="4"/>
      <c r="C6" s="55"/>
      <c r="D6" s="54"/>
    </row>
    <row r="7" spans="1:4" ht="16.5" thickBot="1" x14ac:dyDescent="0.3">
      <c r="A7" s="202"/>
      <c r="B7" s="4"/>
      <c r="C7" s="55"/>
      <c r="D7" s="54"/>
    </row>
    <row r="8" spans="1:4" ht="15.75" customHeight="1" x14ac:dyDescent="0.2">
      <c r="A8" s="282" t="s">
        <v>227</v>
      </c>
      <c r="B8" s="273" t="s">
        <v>228</v>
      </c>
      <c r="C8" s="284" t="s">
        <v>229</v>
      </c>
      <c r="D8" s="275" t="s">
        <v>230</v>
      </c>
    </row>
    <row r="9" spans="1:4" ht="13.5" thickBot="1" x14ac:dyDescent="0.25">
      <c r="A9" s="283"/>
      <c r="B9" s="274"/>
      <c r="C9" s="285"/>
      <c r="D9" s="276"/>
    </row>
    <row r="10" spans="1:4" ht="16.5" thickBot="1" x14ac:dyDescent="0.25">
      <c r="A10" s="203" t="s">
        <v>231</v>
      </c>
      <c r="B10" s="204">
        <f>VLOOKUP(A5,мкд!S:T,2,FALSE)</f>
        <v>-342540.9</v>
      </c>
      <c r="C10" s="205"/>
      <c r="D10" s="206"/>
    </row>
    <row r="11" spans="1:4" ht="16.5" hidden="1" thickBot="1" x14ac:dyDescent="0.25">
      <c r="A11" s="207" t="s">
        <v>232</v>
      </c>
      <c r="B11" s="204"/>
      <c r="C11" s="206"/>
      <c r="D11" s="208"/>
    </row>
    <row r="12" spans="1:4" ht="16.5" thickBot="1" x14ac:dyDescent="0.3">
      <c r="A12" s="209" t="s">
        <v>233</v>
      </c>
      <c r="B12" s="210"/>
      <c r="C12" s="56" t="s">
        <v>234</v>
      </c>
      <c r="D12" s="57" t="s">
        <v>234</v>
      </c>
    </row>
    <row r="13" spans="1:4" ht="15.75" hidden="1" x14ac:dyDescent="0.25">
      <c r="A13" s="58" t="s">
        <v>235</v>
      </c>
      <c r="B13" s="8">
        <v>1545.8</v>
      </c>
      <c r="C13" s="57" t="s">
        <v>234</v>
      </c>
      <c r="D13" s="59" t="s">
        <v>234</v>
      </c>
    </row>
    <row r="14" spans="1:4" ht="16.5" hidden="1" thickBot="1" x14ac:dyDescent="0.3">
      <c r="A14" s="58" t="s">
        <v>236</v>
      </c>
      <c r="B14" s="8">
        <v>0</v>
      </c>
      <c r="C14" s="60"/>
      <c r="D14" s="59"/>
    </row>
    <row r="15" spans="1:4" ht="15.75" hidden="1" x14ac:dyDescent="0.25">
      <c r="A15" s="58" t="s">
        <v>237</v>
      </c>
      <c r="B15" s="8">
        <f>B13+B14</f>
        <v>1545.8</v>
      </c>
      <c r="C15" s="61"/>
      <c r="D15" s="62"/>
    </row>
    <row r="16" spans="1:4" ht="16.5" hidden="1" thickBot="1" x14ac:dyDescent="0.3">
      <c r="A16" s="58" t="s">
        <v>238</v>
      </c>
      <c r="B16" s="8">
        <f>841+2459.7/3</f>
        <v>1660.9</v>
      </c>
      <c r="C16" s="63" t="s">
        <v>234</v>
      </c>
      <c r="D16" s="62" t="s">
        <v>234</v>
      </c>
    </row>
    <row r="17" spans="1:7" ht="15.75" hidden="1" x14ac:dyDescent="0.25">
      <c r="A17" s="58" t="s">
        <v>239</v>
      </c>
      <c r="B17" s="8">
        <v>0</v>
      </c>
      <c r="C17" s="57" t="s">
        <v>234</v>
      </c>
      <c r="D17" s="59" t="s">
        <v>234</v>
      </c>
      <c r="E17" s="54"/>
      <c r="F17" s="54"/>
      <c r="G17" s="54"/>
    </row>
    <row r="18" spans="1:7" ht="15.75" hidden="1" x14ac:dyDescent="0.25">
      <c r="A18" s="58" t="s">
        <v>240</v>
      </c>
      <c r="B18" s="8">
        <v>648.6</v>
      </c>
      <c r="C18" s="62" t="s">
        <v>234</v>
      </c>
      <c r="D18" s="59" t="s">
        <v>234</v>
      </c>
      <c r="E18" s="54"/>
      <c r="F18" s="54"/>
      <c r="G18" s="54"/>
    </row>
    <row r="19" spans="1:7" ht="15.75" hidden="1" x14ac:dyDescent="0.25">
      <c r="A19" s="58" t="s">
        <v>241</v>
      </c>
      <c r="B19" s="8">
        <v>0</v>
      </c>
      <c r="C19" s="62" t="s">
        <v>234</v>
      </c>
      <c r="D19" s="59" t="s">
        <v>234</v>
      </c>
      <c r="E19" s="54"/>
      <c r="F19" s="54"/>
      <c r="G19" s="54"/>
    </row>
    <row r="20" spans="1:7" ht="15.75" hidden="1" x14ac:dyDescent="0.25">
      <c r="A20" s="58" t="s">
        <v>242</v>
      </c>
      <c r="B20" s="8">
        <v>826</v>
      </c>
      <c r="C20" s="62"/>
      <c r="D20" s="59"/>
      <c r="E20" s="54"/>
      <c r="F20" s="54"/>
      <c r="G20" s="54"/>
    </row>
    <row r="21" spans="1:7" ht="15.75" hidden="1" x14ac:dyDescent="0.25">
      <c r="A21" s="58" t="s">
        <v>243</v>
      </c>
      <c r="B21" s="8">
        <v>0</v>
      </c>
      <c r="C21" s="62" t="s">
        <v>234</v>
      </c>
      <c r="D21" s="59" t="s">
        <v>234</v>
      </c>
      <c r="E21" s="54"/>
      <c r="F21" s="54"/>
      <c r="G21" s="54"/>
    </row>
    <row r="22" spans="1:7" ht="16.5" hidden="1" thickBot="1" x14ac:dyDescent="0.3">
      <c r="A22" s="58" t="s">
        <v>244</v>
      </c>
      <c r="B22" s="8">
        <v>81</v>
      </c>
      <c r="C22" s="60"/>
      <c r="D22" s="59"/>
      <c r="E22" s="54"/>
      <c r="F22" s="54"/>
      <c r="G22" s="54"/>
    </row>
    <row r="23" spans="1:7" ht="15.75" x14ac:dyDescent="0.25">
      <c r="A23" s="58"/>
      <c r="B23" s="11"/>
      <c r="C23" s="61"/>
      <c r="D23" s="62"/>
      <c r="E23" s="54">
        <v>12</v>
      </c>
      <c r="F23" s="54"/>
      <c r="G23" s="54"/>
    </row>
    <row r="24" spans="1:7" ht="15.75" x14ac:dyDescent="0.25">
      <c r="A24" s="258" t="s">
        <v>317</v>
      </c>
      <c r="B24" s="255">
        <f>VLOOKUP(A5,мкд!W:X,2,FALSE)</f>
        <v>324557.04000000004</v>
      </c>
      <c r="C24" s="59"/>
      <c r="D24" s="62"/>
      <c r="E24" s="194">
        <v>17.5</v>
      </c>
      <c r="F24" s="54"/>
      <c r="G24" s="54"/>
    </row>
    <row r="25" spans="1:7" ht="16.5" thickBot="1" x14ac:dyDescent="0.3">
      <c r="A25" s="64" t="s">
        <v>318</v>
      </c>
      <c r="B25" s="14">
        <f>VLOOKUP(A5,мкд!W:Y,3,FALSE)</f>
        <v>312994.87</v>
      </c>
      <c r="C25" s="63"/>
      <c r="D25" s="62"/>
      <c r="E25" s="54"/>
      <c r="F25" s="54"/>
      <c r="G25" s="54"/>
    </row>
    <row r="26" spans="1:7" ht="15.75" hidden="1" x14ac:dyDescent="0.25">
      <c r="A26" s="64" t="s">
        <v>319</v>
      </c>
      <c r="B26" s="13">
        <v>0</v>
      </c>
      <c r="C26" s="57"/>
      <c r="D26" s="59"/>
      <c r="E26" s="54"/>
      <c r="F26" s="54"/>
      <c r="G26" s="54"/>
    </row>
    <row r="27" spans="1:7" ht="16.5" hidden="1" thickBot="1" x14ac:dyDescent="0.3">
      <c r="A27" s="64" t="s">
        <v>248</v>
      </c>
      <c r="B27" s="13">
        <v>0</v>
      </c>
      <c r="C27" s="60"/>
      <c r="D27" s="59"/>
      <c r="E27" s="54"/>
      <c r="F27" s="54"/>
      <c r="G27" s="54"/>
    </row>
    <row r="28" spans="1:7" ht="16.5" hidden="1" thickBot="1" x14ac:dyDescent="0.3">
      <c r="A28" s="64" t="s">
        <v>249</v>
      </c>
      <c r="B28" s="14"/>
      <c r="C28" s="56"/>
      <c r="D28" s="62"/>
      <c r="E28" s="54"/>
      <c r="F28" s="54"/>
      <c r="G28" s="54"/>
    </row>
    <row r="29" spans="1:7" ht="16.5" hidden="1" thickBot="1" x14ac:dyDescent="0.3">
      <c r="A29" s="64" t="s">
        <v>250</v>
      </c>
      <c r="B29" s="13"/>
      <c r="C29" s="65"/>
      <c r="D29" s="59"/>
      <c r="E29" s="54"/>
      <c r="F29" s="54"/>
      <c r="G29" s="54"/>
    </row>
    <row r="30" spans="1:7" ht="15.75" x14ac:dyDescent="0.25">
      <c r="A30" s="211"/>
      <c r="B30" s="11"/>
      <c r="C30" s="61"/>
      <c r="D30" s="62"/>
      <c r="E30" s="54"/>
      <c r="F30" s="54"/>
      <c r="G30" s="54"/>
    </row>
    <row r="31" spans="1:7" ht="15.75" x14ac:dyDescent="0.25">
      <c r="A31" s="212" t="s">
        <v>251</v>
      </c>
      <c r="B31" s="11"/>
      <c r="C31" s="59"/>
      <c r="D31" s="62"/>
      <c r="E31" s="54"/>
      <c r="F31" s="54"/>
      <c r="G31" s="54"/>
    </row>
    <row r="32" spans="1:7" s="68" customFormat="1" ht="31.5" x14ac:dyDescent="0.25">
      <c r="A32" s="66" t="s">
        <v>252</v>
      </c>
      <c r="B32" s="121">
        <f>SUM(B33:B41)</f>
        <v>50282.394999999997</v>
      </c>
      <c r="C32" s="59"/>
      <c r="D32" s="62"/>
      <c r="E32" s="67">
        <f>(B86-B26-B24)/1.2/1.03</f>
        <v>121180.29288588891</v>
      </c>
      <c r="F32" s="67" t="e">
        <f>(#REF!-#REF!-#REF!)/1.2/1.03</f>
        <v>#REF!</v>
      </c>
      <c r="G32" s="67" t="e">
        <f>(#REF!-#REF!-#REF!)/1.2/1.03</f>
        <v>#REF!</v>
      </c>
    </row>
    <row r="33" spans="1:7" ht="15.75" x14ac:dyDescent="0.25">
      <c r="A33" s="69" t="s">
        <v>253</v>
      </c>
      <c r="B33" s="11">
        <f>14523*1.095</f>
        <v>15902.684999999999</v>
      </c>
      <c r="C33" s="59"/>
      <c r="D33" s="62"/>
      <c r="E33" s="54"/>
      <c r="F33" s="54"/>
      <c r="G33" s="54"/>
    </row>
    <row r="34" spans="1:7" ht="15.75" hidden="1" x14ac:dyDescent="0.25">
      <c r="A34" s="69" t="s">
        <v>320</v>
      </c>
      <c r="B34" s="70">
        <v>0</v>
      </c>
      <c r="C34" s="57"/>
      <c r="D34" s="59">
        <v>0</v>
      </c>
      <c r="E34" s="54"/>
      <c r="F34" s="54"/>
      <c r="G34" s="54"/>
    </row>
    <row r="35" spans="1:7" ht="15.75" hidden="1" x14ac:dyDescent="0.25">
      <c r="A35" s="69" t="s">
        <v>256</v>
      </c>
      <c r="B35" s="70">
        <v>0</v>
      </c>
      <c r="C35" s="62"/>
      <c r="D35" s="59">
        <v>0</v>
      </c>
      <c r="E35" s="54"/>
      <c r="F35" s="54"/>
      <c r="G35" s="54"/>
    </row>
    <row r="36" spans="1:7" ht="15.75" hidden="1" x14ac:dyDescent="0.25">
      <c r="A36" s="71" t="s">
        <v>321</v>
      </c>
      <c r="B36" s="8"/>
      <c r="C36" s="62" t="s">
        <v>234</v>
      </c>
      <c r="D36" s="59">
        <v>0</v>
      </c>
      <c r="E36" s="54"/>
      <c r="F36" s="54"/>
      <c r="G36" s="54"/>
    </row>
    <row r="37" spans="1:7" ht="15.75" hidden="1" x14ac:dyDescent="0.25">
      <c r="A37" s="69" t="s">
        <v>257</v>
      </c>
      <c r="B37" s="237"/>
      <c r="C37" s="62"/>
      <c r="D37" s="59">
        <v>0</v>
      </c>
      <c r="E37" s="54"/>
      <c r="F37" s="54"/>
      <c r="G37" s="54"/>
    </row>
    <row r="38" spans="1:7" ht="15.75" hidden="1" x14ac:dyDescent="0.25">
      <c r="A38" s="69" t="s">
        <v>258</v>
      </c>
      <c r="B38" s="11">
        <v>0</v>
      </c>
      <c r="C38" s="62"/>
      <c r="D38" s="59">
        <v>0</v>
      </c>
      <c r="E38" s="54"/>
      <c r="F38" s="54"/>
      <c r="G38" s="54"/>
    </row>
    <row r="39" spans="1:7" ht="31.5" hidden="1" x14ac:dyDescent="0.25">
      <c r="A39" s="69" t="s">
        <v>322</v>
      </c>
      <c r="B39" s="11">
        <v>0</v>
      </c>
      <c r="C39" s="62"/>
      <c r="D39" s="59">
        <v>0</v>
      </c>
      <c r="E39" s="54"/>
      <c r="F39" s="54"/>
      <c r="G39" s="54"/>
    </row>
    <row r="40" spans="1:7" ht="16.5" thickBot="1" x14ac:dyDescent="0.3">
      <c r="A40" s="69" t="s">
        <v>310</v>
      </c>
      <c r="B40" s="11">
        <v>34379.71</v>
      </c>
      <c r="C40" s="62"/>
      <c r="D40" s="59"/>
      <c r="E40" s="54"/>
      <c r="F40" s="54"/>
      <c r="G40" s="54"/>
    </row>
    <row r="41" spans="1:7" ht="16.5" hidden="1" thickBot="1" x14ac:dyDescent="0.3">
      <c r="A41" s="69" t="s">
        <v>256</v>
      </c>
      <c r="B41" s="8"/>
      <c r="C41" s="60"/>
      <c r="D41" s="59"/>
      <c r="E41" s="54"/>
      <c r="F41" s="54"/>
      <c r="G41" s="54"/>
    </row>
    <row r="42" spans="1:7" s="68" customFormat="1" ht="48" thickBot="1" x14ac:dyDescent="0.3">
      <c r="A42" s="66" t="s">
        <v>323</v>
      </c>
      <c r="B42" s="121">
        <f>SUM(B43:B45)</f>
        <v>30643.241568807141</v>
      </c>
      <c r="C42" s="56"/>
      <c r="D42" s="62"/>
      <c r="E42" s="67"/>
      <c r="F42" s="67"/>
      <c r="G42" s="67"/>
    </row>
    <row r="43" spans="1:7" ht="15.75" x14ac:dyDescent="0.25">
      <c r="A43" s="69" t="s">
        <v>262</v>
      </c>
      <c r="B43" s="11">
        <v>8541.2900000000009</v>
      </c>
      <c r="C43" s="65"/>
      <c r="D43" s="73"/>
      <c r="E43" s="54"/>
      <c r="F43" s="54"/>
      <c r="G43" s="54"/>
    </row>
    <row r="44" spans="1:7" ht="15.75" x14ac:dyDescent="0.25">
      <c r="A44" s="69" t="s">
        <v>263</v>
      </c>
      <c r="B44" s="11">
        <v>12879.859999999999</v>
      </c>
      <c r="C44" s="60"/>
      <c r="D44" s="73"/>
      <c r="E44" s="54"/>
      <c r="F44" s="54"/>
      <c r="G44" s="54"/>
    </row>
    <row r="45" spans="1:7" ht="16.5" thickBot="1" x14ac:dyDescent="0.3">
      <c r="A45" s="74" t="s">
        <v>264</v>
      </c>
      <c r="B45" s="11">
        <f>[3]тарифы!D163*B15*1.0952+214.42*1.12</f>
        <v>9222.0915688071382</v>
      </c>
      <c r="C45" s="60"/>
      <c r="D45" s="73"/>
      <c r="E45" s="54"/>
      <c r="F45" s="54"/>
      <c r="G45" s="54"/>
    </row>
    <row r="46" spans="1:7" s="55" customFormat="1" ht="16.5" thickBot="1" x14ac:dyDescent="0.3">
      <c r="A46" s="66" t="s">
        <v>265</v>
      </c>
      <c r="B46" s="121">
        <f>SUM(B47:B65)</f>
        <v>42485.83</v>
      </c>
      <c r="C46" s="56"/>
      <c r="D46" s="62"/>
    </row>
    <row r="47" spans="1:7" ht="15.75" x14ac:dyDescent="0.25">
      <c r="A47" s="69" t="s">
        <v>324</v>
      </c>
      <c r="B47" s="11">
        <v>2724.12</v>
      </c>
      <c r="C47" s="57"/>
      <c r="D47" s="59"/>
      <c r="E47" s="54" t="s">
        <v>267</v>
      </c>
      <c r="F47" s="54"/>
      <c r="G47" s="54"/>
    </row>
    <row r="48" spans="1:7" ht="15.75" x14ac:dyDescent="0.25">
      <c r="A48" s="69" t="s">
        <v>315</v>
      </c>
      <c r="B48" s="11">
        <v>3307.86</v>
      </c>
      <c r="C48" s="62"/>
      <c r="D48" s="59"/>
      <c r="E48" s="54" t="s">
        <v>269</v>
      </c>
      <c r="F48" s="54"/>
      <c r="G48" s="54"/>
    </row>
    <row r="49" spans="1:5" ht="15.75" hidden="1" x14ac:dyDescent="0.25">
      <c r="A49" s="75" t="s">
        <v>270</v>
      </c>
      <c r="B49" s="8">
        <v>0</v>
      </c>
      <c r="C49" s="62"/>
      <c r="D49" s="59"/>
      <c r="E49" s="54"/>
    </row>
    <row r="50" spans="1:5" ht="15.75" hidden="1" x14ac:dyDescent="0.25">
      <c r="A50" s="75" t="s">
        <v>271</v>
      </c>
      <c r="B50" s="8">
        <v>0</v>
      </c>
      <c r="C50" s="62"/>
      <c r="D50" s="59">
        <v>4190</v>
      </c>
      <c r="E50" s="54"/>
    </row>
    <row r="51" spans="1:5" ht="15.75" hidden="1" x14ac:dyDescent="0.25">
      <c r="A51" s="75" t="s">
        <v>272</v>
      </c>
      <c r="B51" s="8">
        <v>0</v>
      </c>
      <c r="C51" s="62"/>
      <c r="D51" s="59"/>
      <c r="E51" s="54"/>
    </row>
    <row r="52" spans="1:5" ht="15.75" hidden="1" x14ac:dyDescent="0.25">
      <c r="A52" s="75" t="s">
        <v>273</v>
      </c>
      <c r="B52" s="8">
        <f>B21*[3]тарифы!D177</f>
        <v>0</v>
      </c>
      <c r="C52" s="62"/>
      <c r="D52" s="59">
        <v>105.14</v>
      </c>
      <c r="E52" s="54"/>
    </row>
    <row r="53" spans="1:5" ht="15.75" hidden="1" x14ac:dyDescent="0.25">
      <c r="A53" s="75" t="s">
        <v>274</v>
      </c>
      <c r="B53" s="8">
        <v>0</v>
      </c>
      <c r="C53" s="62">
        <v>0</v>
      </c>
      <c r="D53" s="59">
        <v>522.99</v>
      </c>
      <c r="E53" s="54"/>
    </row>
    <row r="54" spans="1:5" ht="15.75" hidden="1" x14ac:dyDescent="0.25">
      <c r="A54" s="75" t="s">
        <v>275</v>
      </c>
      <c r="B54" s="8">
        <v>0</v>
      </c>
      <c r="C54" s="62">
        <v>0</v>
      </c>
      <c r="D54" s="76">
        <v>695.13</v>
      </c>
      <c r="E54" s="54"/>
    </row>
    <row r="55" spans="1:5" ht="15.75" hidden="1" x14ac:dyDescent="0.25">
      <c r="A55" s="75" t="s">
        <v>276</v>
      </c>
      <c r="B55" s="8">
        <v>0</v>
      </c>
      <c r="C55" s="62"/>
      <c r="D55" s="76"/>
      <c r="E55" s="54"/>
    </row>
    <row r="56" spans="1:5" ht="15.75" hidden="1" x14ac:dyDescent="0.25">
      <c r="A56" s="75" t="s">
        <v>277</v>
      </c>
      <c r="B56" s="8">
        <v>0</v>
      </c>
      <c r="C56" s="62">
        <v>0</v>
      </c>
      <c r="D56" s="59">
        <f>10695.76/1.18</f>
        <v>9064.203389830509</v>
      </c>
      <c r="E56" s="54"/>
    </row>
    <row r="57" spans="1:5" ht="15.75" hidden="1" x14ac:dyDescent="0.25">
      <c r="A57" s="75" t="s">
        <v>312</v>
      </c>
      <c r="B57" s="11">
        <v>0</v>
      </c>
      <c r="C57" s="62">
        <v>0</v>
      </c>
      <c r="D57" s="59">
        <f>2300/1.18</f>
        <v>1949.1525423728815</v>
      </c>
      <c r="E57" s="54"/>
    </row>
    <row r="58" spans="1:5" ht="15.75" hidden="1" x14ac:dyDescent="0.25">
      <c r="A58" s="75" t="s">
        <v>313</v>
      </c>
      <c r="B58" s="8">
        <v>0</v>
      </c>
      <c r="C58" s="60">
        <v>0</v>
      </c>
      <c r="D58" s="59">
        <v>0</v>
      </c>
      <c r="E58" s="54"/>
    </row>
    <row r="59" spans="1:5" ht="16.5" hidden="1" thickBot="1" x14ac:dyDescent="0.3">
      <c r="A59" s="75" t="s">
        <v>278</v>
      </c>
      <c r="B59" s="8">
        <f>B13*[3]тарифы!D184</f>
        <v>0</v>
      </c>
      <c r="C59" s="56"/>
      <c r="D59" s="62"/>
      <c r="E59" s="54"/>
    </row>
    <row r="60" spans="1:5" ht="15.75" hidden="1" x14ac:dyDescent="0.25">
      <c r="A60" s="69" t="s">
        <v>279</v>
      </c>
      <c r="B60" s="8">
        <v>0</v>
      </c>
      <c r="C60" s="57"/>
      <c r="D60" s="59"/>
      <c r="E60" s="54"/>
    </row>
    <row r="61" spans="1:5" ht="15.75" hidden="1" x14ac:dyDescent="0.25">
      <c r="A61" s="69" t="s">
        <v>280</v>
      </c>
      <c r="B61" s="8">
        <v>0</v>
      </c>
      <c r="C61" s="62"/>
      <c r="D61" s="59">
        <v>0</v>
      </c>
      <c r="E61" s="54"/>
    </row>
    <row r="62" spans="1:5" ht="15.75" x14ac:dyDescent="0.25">
      <c r="A62" s="69" t="s">
        <v>314</v>
      </c>
      <c r="B62" s="11">
        <f>VLOOKUP(A5,'[2]МКД 33'!$AI:$FO,137,FALSE)</f>
        <v>11440.44</v>
      </c>
      <c r="C62" s="62"/>
      <c r="D62" s="59">
        <v>0</v>
      </c>
      <c r="E62" s="54"/>
    </row>
    <row r="63" spans="1:5" ht="16.5" thickBot="1" x14ac:dyDescent="0.3">
      <c r="A63" s="69" t="s">
        <v>325</v>
      </c>
      <c r="B63" s="132">
        <v>13828.69</v>
      </c>
      <c r="C63" s="78">
        <v>1</v>
      </c>
      <c r="D63" s="59">
        <v>0</v>
      </c>
      <c r="E63" s="54"/>
    </row>
    <row r="64" spans="1:5" ht="18" customHeight="1" thickBot="1" x14ac:dyDescent="0.3">
      <c r="A64" s="69" t="s">
        <v>518</v>
      </c>
      <c r="B64" s="132">
        <v>11003.14</v>
      </c>
      <c r="C64" s="79">
        <v>36</v>
      </c>
      <c r="D64" s="62">
        <v>2</v>
      </c>
      <c r="E64" s="54">
        <v>1</v>
      </c>
    </row>
    <row r="65" spans="1:4" s="55" customFormat="1" ht="16.5" thickBot="1" x14ac:dyDescent="0.3">
      <c r="A65" s="69" t="s">
        <v>281</v>
      </c>
      <c r="B65" s="132">
        <v>181.58</v>
      </c>
      <c r="C65" s="80">
        <v>36</v>
      </c>
      <c r="D65" s="73">
        <f>650/1.18</f>
        <v>550.84745762711873</v>
      </c>
    </row>
    <row r="66" spans="1:4" s="55" customFormat="1" ht="16.5" thickBot="1" x14ac:dyDescent="0.3">
      <c r="A66" s="175" t="s">
        <v>285</v>
      </c>
      <c r="B66" s="121">
        <f>SUM(B67:B74)</f>
        <v>146255.372688</v>
      </c>
      <c r="C66" s="56"/>
      <c r="D66" s="60"/>
    </row>
    <row r="67" spans="1:4" ht="16.5" hidden="1" thickBot="1" x14ac:dyDescent="0.3">
      <c r="A67" s="69" t="s">
        <v>286</v>
      </c>
      <c r="B67" s="8">
        <v>0</v>
      </c>
      <c r="C67" s="65"/>
      <c r="D67" s="73"/>
    </row>
    <row r="68" spans="1:4" ht="16.5" thickBot="1" x14ac:dyDescent="0.3">
      <c r="A68" s="69" t="s">
        <v>287</v>
      </c>
      <c r="B68" s="11">
        <f>60175*1.04*1.12*1.095</f>
        <v>76750.564800000007</v>
      </c>
      <c r="C68" s="56">
        <f>B16</f>
        <v>1660.9</v>
      </c>
      <c r="D68" s="60"/>
    </row>
    <row r="69" spans="1:4" ht="15.75" hidden="1" x14ac:dyDescent="0.25">
      <c r="A69" s="69" t="s">
        <v>288</v>
      </c>
      <c r="B69" s="8">
        <v>0</v>
      </c>
      <c r="C69" s="65"/>
      <c r="D69" s="73"/>
    </row>
    <row r="70" spans="1:4" ht="16.5" thickBot="1" x14ac:dyDescent="0.3">
      <c r="A70" s="74" t="s">
        <v>289</v>
      </c>
      <c r="B70" s="11">
        <f>1.35*B15</f>
        <v>2086.83</v>
      </c>
      <c r="C70" s="60"/>
      <c r="D70" s="73"/>
    </row>
    <row r="71" spans="1:4" ht="15.75" x14ac:dyDescent="0.25">
      <c r="A71" s="74" t="s">
        <v>290</v>
      </c>
      <c r="B71" s="11">
        <f>5.06*B15</f>
        <v>7821.7479999999996</v>
      </c>
      <c r="C71" s="81"/>
      <c r="D71" s="60"/>
    </row>
    <row r="72" spans="1:4" ht="15.75" x14ac:dyDescent="0.25">
      <c r="A72" s="74" t="s">
        <v>291</v>
      </c>
      <c r="B72" s="11">
        <f>17.68*B15</f>
        <v>27329.743999999999</v>
      </c>
      <c r="C72" s="73"/>
      <c r="D72" s="60"/>
    </row>
    <row r="73" spans="1:4" ht="15.75" x14ac:dyDescent="0.25">
      <c r="A73" s="25" t="s">
        <v>292</v>
      </c>
      <c r="B73" s="11">
        <f>2678*1.04*1.12*1.095</f>
        <v>3415.6711680000003</v>
      </c>
      <c r="C73" s="73"/>
      <c r="D73" s="60"/>
    </row>
    <row r="74" spans="1:4" ht="15.75" x14ac:dyDescent="0.25">
      <c r="A74" s="74" t="s">
        <v>293</v>
      </c>
      <c r="B74" s="11">
        <f>22620*1.04*1.12*1.095</f>
        <v>28850.814720000002</v>
      </c>
      <c r="C74" s="73"/>
      <c r="D74" s="60"/>
    </row>
    <row r="75" spans="1:4" ht="63" x14ac:dyDescent="0.25">
      <c r="A75" s="213" t="s">
        <v>326</v>
      </c>
      <c r="B75" s="121">
        <f>SUM(B76:B76)</f>
        <v>60443.961876480018</v>
      </c>
      <c r="C75" s="73"/>
      <c r="D75" s="60"/>
    </row>
    <row r="76" spans="1:4" ht="15.75" x14ac:dyDescent="0.25">
      <c r="A76" s="74" t="s">
        <v>295</v>
      </c>
      <c r="B76" s="11">
        <f>47390.08*1.04*1.12*1.095</f>
        <v>60443.961876480018</v>
      </c>
      <c r="C76" s="73"/>
      <c r="D76" s="60"/>
    </row>
    <row r="77" spans="1:4" s="55" customFormat="1" ht="15.75" x14ac:dyDescent="0.25">
      <c r="A77" s="175" t="s">
        <v>296</v>
      </c>
      <c r="B77" s="121">
        <f>SUM(B78:B81)</f>
        <v>53656.093694349423</v>
      </c>
      <c r="C77" s="73"/>
      <c r="D77" s="60"/>
    </row>
    <row r="78" spans="1:4" ht="32.25" thickBot="1" x14ac:dyDescent="0.3">
      <c r="A78" s="82" t="s">
        <v>327</v>
      </c>
      <c r="B78" s="11">
        <f>[3]тарифы!D170*B15*1.12*1.095</f>
        <v>40850.298305139688</v>
      </c>
      <c r="C78" s="63"/>
      <c r="D78" s="60"/>
    </row>
    <row r="79" spans="1:4" ht="16.5" hidden="1" thickBot="1" x14ac:dyDescent="0.3">
      <c r="A79" s="35" t="s">
        <v>298</v>
      </c>
      <c r="B79" s="8">
        <f>(B26/1.2)*30%</f>
        <v>0</v>
      </c>
      <c r="C79" s="65"/>
      <c r="D79" s="73"/>
    </row>
    <row r="80" spans="1:4" ht="15.75" x14ac:dyDescent="0.25">
      <c r="A80" s="83" t="s">
        <v>328</v>
      </c>
      <c r="B80" s="11">
        <f>4819.04+4265.97</f>
        <v>9085.01</v>
      </c>
      <c r="C80" s="81"/>
      <c r="D80" s="60"/>
    </row>
    <row r="81" spans="1:4" ht="15.75" x14ac:dyDescent="0.25">
      <c r="A81" s="83" t="s">
        <v>329</v>
      </c>
      <c r="B81" s="11">
        <f>[3]тарифы!D173*B13*1.12*1.095</f>
        <v>3720.7853892097341</v>
      </c>
      <c r="C81" s="73"/>
      <c r="D81" s="60"/>
    </row>
    <row r="82" spans="1:4" ht="15.75" x14ac:dyDescent="0.25">
      <c r="A82" s="214" t="s">
        <v>301</v>
      </c>
      <c r="B82" s="14">
        <f>B32+B42+B46+B66+B75+B77</f>
        <v>383766.89482763654</v>
      </c>
      <c r="C82" s="73"/>
      <c r="D82" s="60"/>
    </row>
    <row r="83" spans="1:4" ht="15.75" x14ac:dyDescent="0.25">
      <c r="A83" s="215" t="s">
        <v>302</v>
      </c>
      <c r="B83" s="11">
        <f>B82*0.03</f>
        <v>11513.006844829095</v>
      </c>
      <c r="C83" s="73"/>
      <c r="D83" s="60"/>
    </row>
    <row r="84" spans="1:4" s="68" customFormat="1" ht="15.75" x14ac:dyDescent="0.25">
      <c r="A84" s="216" t="s">
        <v>303</v>
      </c>
      <c r="B84" s="121">
        <f>B82+B83</f>
        <v>395279.90167246561</v>
      </c>
      <c r="C84" s="73"/>
      <c r="D84" s="60"/>
    </row>
    <row r="85" spans="1:4" ht="16.5" thickBot="1" x14ac:dyDescent="0.3">
      <c r="A85" s="217" t="s">
        <v>304</v>
      </c>
      <c r="B85" s="142">
        <f>B84*0.2</f>
        <v>79055.980334493128</v>
      </c>
      <c r="C85" s="73"/>
      <c r="D85" s="60"/>
    </row>
    <row r="86" spans="1:4" s="55" customFormat="1" ht="16.5" thickBot="1" x14ac:dyDescent="0.3">
      <c r="A86" s="218" t="s">
        <v>305</v>
      </c>
      <c r="B86" s="46">
        <f>B84+B85</f>
        <v>474335.88200695871</v>
      </c>
      <c r="C86" s="56"/>
      <c r="D86" s="84"/>
    </row>
    <row r="87" spans="1:4" s="55" customFormat="1" ht="16.5" thickBot="1" x14ac:dyDescent="0.3">
      <c r="A87" s="219" t="s">
        <v>306</v>
      </c>
      <c r="B87" s="46">
        <f>B10+B24+B26+B28+B29-B86</f>
        <v>-492319.7420069587</v>
      </c>
      <c r="C87" s="85"/>
      <c r="D87" s="86"/>
    </row>
    <row r="88" spans="1:4" s="55" customFormat="1" ht="16.5" hidden="1" thickBot="1" x14ac:dyDescent="0.3">
      <c r="A88" s="87" t="s">
        <v>307</v>
      </c>
      <c r="B88" s="39"/>
      <c r="C88" s="88"/>
      <c r="D88" s="86"/>
    </row>
    <row r="89" spans="1:4" s="55" customFormat="1" ht="16.5" hidden="1" thickBot="1" x14ac:dyDescent="0.3">
      <c r="A89" s="89" t="s">
        <v>308</v>
      </c>
      <c r="B89" s="46"/>
      <c r="C89" s="86"/>
      <c r="D89" s="86"/>
    </row>
    <row r="90" spans="1:4" s="55" customFormat="1" ht="15.75" x14ac:dyDescent="0.25">
      <c r="A90" s="90"/>
      <c r="B90" s="200"/>
      <c r="C90" s="86"/>
      <c r="D90" s="86"/>
    </row>
    <row r="91" spans="1:4" ht="15.75" x14ac:dyDescent="0.25">
      <c r="A91" s="220"/>
      <c r="B91" s="3"/>
      <c r="C91" s="54"/>
      <c r="D91" s="54"/>
    </row>
    <row r="92" spans="1:4" ht="15.75" x14ac:dyDescent="0.25">
      <c r="A92" s="278" t="s">
        <v>541</v>
      </c>
      <c r="B92" s="267"/>
      <c r="C92" s="54"/>
      <c r="D92" s="54"/>
    </row>
    <row r="93" spans="1:4" ht="15.75" x14ac:dyDescent="0.25">
      <c r="A93" s="220"/>
      <c r="B93" s="3"/>
      <c r="C93" s="54"/>
      <c r="D93" s="54"/>
    </row>
    <row r="94" spans="1:4" ht="15.75" hidden="1" x14ac:dyDescent="0.25">
      <c r="A94" s="279" t="s">
        <v>330</v>
      </c>
      <c r="B94" s="279"/>
      <c r="C94" s="221"/>
      <c r="D94" s="54"/>
    </row>
    <row r="95" spans="1:4" ht="15.75" x14ac:dyDescent="0.25">
      <c r="A95" s="54"/>
      <c r="B95" s="3"/>
      <c r="C95" s="54"/>
      <c r="D95" s="54"/>
    </row>
  </sheetData>
  <autoFilter ref="A31:G89" xr:uid="{00000000-0009-0000-0000-000008000000}">
    <filterColumn colId="1">
      <filters>
        <filter val="11 003,14"/>
        <filter val="11 440,44"/>
        <filter val="11 513,01"/>
        <filter val="12 879,86"/>
        <filter val="13 828,69"/>
        <filter val="146 255,37"/>
        <filter val="15 902,69"/>
        <filter val="181,58"/>
        <filter val="2 086,83"/>
        <filter val="2 724,12"/>
        <filter val="27 329,74"/>
        <filter val="28 850,81"/>
        <filter val="3 307,86"/>
        <filter val="3 415,67"/>
        <filter val="3 720,79"/>
        <filter val="30 643,24"/>
        <filter val="34 379,71"/>
        <filter val="383 766,89"/>
        <filter val="395 279,90"/>
        <filter val="40 850,30"/>
        <filter val="42 485,83"/>
        <filter val="474 335,88"/>
        <filter val="-492 319,74"/>
        <filter val="50 282,40"/>
        <filter val="53 656,09"/>
        <filter val="60 443,96"/>
        <filter val="7 821,75"/>
        <filter val="76 750,56"/>
        <filter val="79 055,98"/>
        <filter val="8 541,29"/>
        <filter val="9 085,01"/>
        <filter val="9 222,09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81</vt:i4>
      </vt:variant>
      <vt:variant>
        <vt:lpstr>Именованные диапазоны</vt:lpstr>
      </vt:variant>
      <vt:variant>
        <vt:i4>79</vt:i4>
      </vt:variant>
    </vt:vector>
  </HeadingPairs>
  <TitlesOfParts>
    <vt:vector size="160" baseType="lpstr">
      <vt:lpstr>Лист1</vt:lpstr>
      <vt:lpstr>мкд</vt:lpstr>
      <vt:lpstr>1-я Стр 42</vt:lpstr>
      <vt:lpstr>1-я Стр 44</vt:lpstr>
      <vt:lpstr>1-я Стр 46</vt:lpstr>
      <vt:lpstr>Даг 7</vt:lpstr>
      <vt:lpstr>Даг 9</vt:lpstr>
      <vt:lpstr>Даг 9-1</vt:lpstr>
      <vt:lpstr>Даг 11</vt:lpstr>
      <vt:lpstr>Даг.11-1</vt:lpstr>
      <vt:lpstr>Даг 13</vt:lpstr>
      <vt:lpstr>Даг 17</vt:lpstr>
      <vt:lpstr>Даг 19</vt:lpstr>
      <vt:lpstr>Даг 31</vt:lpstr>
      <vt:lpstr>Лев 7</vt:lpstr>
      <vt:lpstr>Лев 14-1</vt:lpstr>
      <vt:lpstr>Лев 14-2</vt:lpstr>
      <vt:lpstr>Лев 14-3</vt:lpstr>
      <vt:lpstr>Лев 14-5</vt:lpstr>
      <vt:lpstr>Лев 14-6</vt:lpstr>
      <vt:lpstr>Лев 21а</vt:lpstr>
      <vt:lpstr>Лев 22-2</vt:lpstr>
      <vt:lpstr>Лев 71</vt:lpstr>
      <vt:lpstr>Мин 58</vt:lpstr>
      <vt:lpstr>Мус 7</vt:lpstr>
      <vt:lpstr>Мус 9-а</vt:lpstr>
      <vt:lpstr>Мус 11</vt:lpstr>
      <vt:lpstr>Мус 13</vt:lpstr>
      <vt:lpstr>Мус 13а</vt:lpstr>
      <vt:lpstr>Мус 15</vt:lpstr>
      <vt:lpstr>Мус 15-а</vt:lpstr>
      <vt:lpstr>Мус 17</vt:lpstr>
      <vt:lpstr>Мус 19-1</vt:lpstr>
      <vt:lpstr>Мус 19а</vt:lpstr>
      <vt:lpstr>Мус 19б</vt:lpstr>
      <vt:lpstr>Мус 21</vt:lpstr>
      <vt:lpstr>Мус 25-1</vt:lpstr>
      <vt:lpstr>М.Дж. 66</vt:lpstr>
      <vt:lpstr>Нов 2</vt:lpstr>
      <vt:lpstr>Пр 1</vt:lpstr>
      <vt:lpstr>Пр 2</vt:lpstr>
      <vt:lpstr>Пр 3</vt:lpstr>
      <vt:lpstr>Пр 4</vt:lpstr>
      <vt:lpstr>Пр 4-1</vt:lpstr>
      <vt:lpstr>Пр 6</vt:lpstr>
      <vt:lpstr>Пр 6а</vt:lpstr>
      <vt:lpstr>Пр 8</vt:lpstr>
      <vt:lpstr>Пр 8-1</vt:lpstr>
      <vt:lpstr>Пр 8-а</vt:lpstr>
      <vt:lpstr>Пр 10</vt:lpstr>
      <vt:lpstr>Пр 10-а</vt:lpstr>
      <vt:lpstr>Пр 11</vt:lpstr>
      <vt:lpstr>Пр 13</vt:lpstr>
      <vt:lpstr>Пр 15</vt:lpstr>
      <vt:lpstr>Пр 18</vt:lpstr>
      <vt:lpstr>Пр 18-1</vt:lpstr>
      <vt:lpstr>Пр 18-2</vt:lpstr>
      <vt:lpstr>Пр 18-3</vt:lpstr>
      <vt:lpstr>Пр 20</vt:lpstr>
      <vt:lpstr>Пр 20-1</vt:lpstr>
      <vt:lpstr>Пр 20-2</vt:lpstr>
      <vt:lpstr>Пр 25</vt:lpstr>
      <vt:lpstr>Пр 25-1</vt:lpstr>
      <vt:lpstr>Пр 25-2</vt:lpstr>
      <vt:lpstr>Пр 31-1</vt:lpstr>
      <vt:lpstr>Тал 4</vt:lpstr>
      <vt:lpstr>Тал 6</vt:lpstr>
      <vt:lpstr>Тал 7</vt:lpstr>
      <vt:lpstr>Тал 14</vt:lpstr>
      <vt:lpstr>Тал 21</vt:lpstr>
      <vt:lpstr>Тал 21а</vt:lpstr>
      <vt:lpstr>Тал 23</vt:lpstr>
      <vt:lpstr>Тал 23а</vt:lpstr>
      <vt:lpstr>Тал 23б</vt:lpstr>
      <vt:lpstr>Тал 24-1</vt:lpstr>
      <vt:lpstr>Тал 26-1</vt:lpstr>
      <vt:lpstr>Тал 28-1</vt:lpstr>
      <vt:lpstr>Ухт.26</vt:lpstr>
      <vt:lpstr>Центр 1-2</vt:lpstr>
      <vt:lpstr>Центр 6-1</vt:lpstr>
      <vt:lpstr>Центр 18-1</vt:lpstr>
      <vt:lpstr>'1-я Стр 42'!Область_печати</vt:lpstr>
      <vt:lpstr>'1-я Стр 44'!Область_печати</vt:lpstr>
      <vt:lpstr>'1-я Стр 46'!Область_печати</vt:lpstr>
      <vt:lpstr>'Даг 11'!Область_печати</vt:lpstr>
      <vt:lpstr>'Даг 13'!Область_печати</vt:lpstr>
      <vt:lpstr>'Даг 17'!Область_печати</vt:lpstr>
      <vt:lpstr>'Даг 19'!Область_печати</vt:lpstr>
      <vt:lpstr>'Даг 31'!Область_печати</vt:lpstr>
      <vt:lpstr>'Даг 7'!Область_печати</vt:lpstr>
      <vt:lpstr>'Даг 9'!Область_печати</vt:lpstr>
      <vt:lpstr>'Даг 9-1'!Область_печати</vt:lpstr>
      <vt:lpstr>'Даг.11-1'!Область_печати</vt:lpstr>
      <vt:lpstr>'Лев 14-1'!Область_печати</vt:lpstr>
      <vt:lpstr>'Лев 14-2'!Область_печати</vt:lpstr>
      <vt:lpstr>'Лев 14-3'!Область_печати</vt:lpstr>
      <vt:lpstr>'Лев 14-5'!Область_печати</vt:lpstr>
      <vt:lpstr>'Лев 14-6'!Область_печати</vt:lpstr>
      <vt:lpstr>'Лев 21а'!Область_печати</vt:lpstr>
      <vt:lpstr>'Лев 22-2'!Область_печати</vt:lpstr>
      <vt:lpstr>'Лев 7'!Область_печати</vt:lpstr>
      <vt:lpstr>'Лев 71'!Область_печати</vt:lpstr>
      <vt:lpstr>'М.Дж. 66'!Область_печати</vt:lpstr>
      <vt:lpstr>'Мин 58'!Область_печати</vt:lpstr>
      <vt:lpstr>'Мус 11'!Область_печати</vt:lpstr>
      <vt:lpstr>'Мус 13'!Область_печати</vt:lpstr>
      <vt:lpstr>'Мус 13а'!Область_печати</vt:lpstr>
      <vt:lpstr>'Мус 15'!Область_печати</vt:lpstr>
      <vt:lpstr>'Мус 15-а'!Область_печати</vt:lpstr>
      <vt:lpstr>'Мус 17'!Область_печати</vt:lpstr>
      <vt:lpstr>'Мус 19-1'!Область_печати</vt:lpstr>
      <vt:lpstr>'Мус 19а'!Область_печати</vt:lpstr>
      <vt:lpstr>'Мус 19б'!Область_печати</vt:lpstr>
      <vt:lpstr>'Мус 21'!Область_печати</vt:lpstr>
      <vt:lpstr>'Мус 25-1'!Область_печати</vt:lpstr>
      <vt:lpstr>'Мус 7'!Область_печати</vt:lpstr>
      <vt:lpstr>'Мус 9-а'!Область_печати</vt:lpstr>
      <vt:lpstr>'Нов 2'!Область_печати</vt:lpstr>
      <vt:lpstr>'Пр 1'!Область_печати</vt:lpstr>
      <vt:lpstr>'Пр 10'!Область_печати</vt:lpstr>
      <vt:lpstr>'Пр 10-а'!Область_печати</vt:lpstr>
      <vt:lpstr>'Пр 11'!Область_печати</vt:lpstr>
      <vt:lpstr>'Пр 13'!Область_печати</vt:lpstr>
      <vt:lpstr>'Пр 15'!Область_печати</vt:lpstr>
      <vt:lpstr>'Пр 18'!Область_печати</vt:lpstr>
      <vt:lpstr>'Пр 18-1'!Область_печати</vt:lpstr>
      <vt:lpstr>'Пр 18-2'!Область_печати</vt:lpstr>
      <vt:lpstr>'Пр 18-3'!Область_печати</vt:lpstr>
      <vt:lpstr>'Пр 2'!Область_печати</vt:lpstr>
      <vt:lpstr>'Пр 20'!Область_печати</vt:lpstr>
      <vt:lpstr>'Пр 20-1'!Область_печати</vt:lpstr>
      <vt:lpstr>'Пр 20-2'!Область_печати</vt:lpstr>
      <vt:lpstr>'Пр 25'!Область_печати</vt:lpstr>
      <vt:lpstr>'Пр 25-1'!Область_печати</vt:lpstr>
      <vt:lpstr>'Пр 25-2'!Область_печати</vt:lpstr>
      <vt:lpstr>'Пр 3'!Область_печати</vt:lpstr>
      <vt:lpstr>'Пр 31-1'!Область_печати</vt:lpstr>
      <vt:lpstr>'Пр 4'!Область_печати</vt:lpstr>
      <vt:lpstr>'Пр 4-1'!Область_печати</vt:lpstr>
      <vt:lpstr>'Пр 6'!Область_печати</vt:lpstr>
      <vt:lpstr>'Пр 6а'!Область_печати</vt:lpstr>
      <vt:lpstr>'Пр 8'!Область_печати</vt:lpstr>
      <vt:lpstr>'Пр 8-1'!Область_печати</vt:lpstr>
      <vt:lpstr>'Пр 8-а'!Область_печати</vt:lpstr>
      <vt:lpstr>'Тал 14'!Область_печати</vt:lpstr>
      <vt:lpstr>'Тал 21'!Область_печати</vt:lpstr>
      <vt:lpstr>'Тал 21а'!Область_печати</vt:lpstr>
      <vt:lpstr>'Тал 23'!Область_печати</vt:lpstr>
      <vt:lpstr>'Тал 23а'!Область_печати</vt:lpstr>
      <vt:lpstr>'Тал 23б'!Область_печати</vt:lpstr>
      <vt:lpstr>'Тал 24-1'!Область_печати</vt:lpstr>
      <vt:lpstr>'Тал 26-1'!Область_печати</vt:lpstr>
      <vt:lpstr>'Тал 28-1'!Область_печати</vt:lpstr>
      <vt:lpstr>'Тал 4'!Область_печати</vt:lpstr>
      <vt:lpstr>'Тал 6'!Область_печати</vt:lpstr>
      <vt:lpstr>'Тал 7'!Область_печати</vt:lpstr>
      <vt:lpstr>Ухт.26!Область_печати</vt:lpstr>
      <vt:lpstr>'Центр 1-2'!Область_печати</vt:lpstr>
      <vt:lpstr>'Центр 18-1'!Область_печати</vt:lpstr>
      <vt:lpstr>'Центр 6-1'!Область_печати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</dc:creator>
  <cp:lastModifiedBy>Радик Хамзин</cp:lastModifiedBy>
  <cp:lastPrinted>2025-03-28T11:46:56Z</cp:lastPrinted>
  <dcterms:created xsi:type="dcterms:W3CDTF">2025-03-20T14:56:55Z</dcterms:created>
  <dcterms:modified xsi:type="dcterms:W3CDTF">2025-04-10T11:08:52Z</dcterms:modified>
</cp:coreProperties>
</file>