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4212\Desktop\"/>
    </mc:Choice>
  </mc:AlternateContent>
  <bookViews>
    <workbookView xWindow="0" yWindow="0" windowWidth="14556" windowHeight="5208" activeTab="3"/>
  </bookViews>
  <sheets>
    <sheet name="Source" sheetId="1" r:id="rId1"/>
    <sheet name="Optic" sheetId="2" r:id="rId2"/>
    <sheet name="Material" sheetId="3" r:id="rId3"/>
    <sheet name="Four-circle X-ray diffractio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2" l="1"/>
  <c r="G31" i="4"/>
  <c r="C23" i="4" s="1"/>
  <c r="G30" i="4"/>
  <c r="N30" i="4" s="1"/>
  <c r="G29" i="4"/>
  <c r="N29" i="4" s="1"/>
  <c r="N28" i="4"/>
  <c r="G28" i="4"/>
  <c r="N27" i="4"/>
  <c r="G27" i="4"/>
  <c r="C27" i="4"/>
  <c r="G26" i="4"/>
  <c r="N26" i="4" s="1"/>
  <c r="N25" i="4"/>
  <c r="G25" i="4"/>
  <c r="P22" i="4"/>
  <c r="O22" i="4"/>
  <c r="N22" i="4"/>
  <c r="P21" i="4"/>
  <c r="O21" i="4"/>
  <c r="N21" i="4"/>
  <c r="C11" i="4"/>
  <c r="N5" i="4"/>
  <c r="O5" i="4"/>
  <c r="P5" i="4"/>
  <c r="N6" i="4"/>
  <c r="O6" i="4"/>
  <c r="P6" i="4"/>
  <c r="G15" i="4"/>
  <c r="N15" i="4" s="1"/>
  <c r="G14" i="4"/>
  <c r="N14" i="4" s="1"/>
  <c r="G13" i="4"/>
  <c r="N13" i="4" s="1"/>
  <c r="G12" i="4"/>
  <c r="N12" i="4" s="1"/>
  <c r="G11" i="4"/>
  <c r="N11" i="4" s="1"/>
  <c r="G10" i="4"/>
  <c r="N10" i="4" s="1"/>
  <c r="G9" i="4"/>
  <c r="F59" i="2"/>
  <c r="F62" i="2" s="1"/>
  <c r="C59" i="2"/>
  <c r="D59" i="2" s="1"/>
  <c r="E59" i="2" s="1"/>
  <c r="H50" i="2"/>
  <c r="F47" i="2"/>
  <c r="H44" i="2"/>
  <c r="F44" i="2"/>
  <c r="F20" i="1"/>
  <c r="E20" i="1"/>
  <c r="D20" i="1"/>
  <c r="C20" i="1"/>
  <c r="G38" i="2"/>
  <c r="E41" i="2" s="1"/>
  <c r="F38" i="2"/>
  <c r="C24" i="4" l="1"/>
  <c r="C25" i="4"/>
  <c r="N31" i="4"/>
  <c r="J23" i="4" s="1"/>
  <c r="C7" i="4"/>
  <c r="C8" i="4" s="1"/>
  <c r="N9" i="4"/>
  <c r="J7" i="4"/>
  <c r="J9" i="4" s="1"/>
  <c r="G59" i="2"/>
  <c r="H59" i="2" s="1"/>
  <c r="E62" i="2"/>
  <c r="H41" i="2"/>
  <c r="J25" i="4" l="1"/>
  <c r="H23" i="4"/>
  <c r="C9" i="4"/>
  <c r="H7" i="4"/>
  <c r="J27" i="4" l="1"/>
  <c r="J11" i="4"/>
  <c r="E26" i="2" l="1"/>
  <c r="F26" i="2"/>
  <c r="F23" i="2"/>
  <c r="G23" i="2" s="1"/>
  <c r="E5" i="2"/>
  <c r="F11" i="2" s="1"/>
  <c r="D14" i="2"/>
  <c r="C14" i="2"/>
  <c r="C11" i="2"/>
  <c r="C8" i="2"/>
  <c r="G11" i="2" s="1"/>
  <c r="H23" i="2" l="1"/>
  <c r="F29" i="2"/>
  <c r="C26" i="2"/>
  <c r="C29" i="2" s="1"/>
  <c r="D29" i="2" s="1"/>
  <c r="G29" i="2" s="1"/>
  <c r="D11" i="2"/>
  <c r="E11" i="2" s="1"/>
  <c r="E14" i="2"/>
  <c r="F14" i="2" s="1"/>
  <c r="D32" i="2" l="1"/>
  <c r="E32" i="2" s="1"/>
  <c r="G8" i="1"/>
  <c r="F8" i="1"/>
  <c r="D11" i="1"/>
  <c r="C11" i="1"/>
  <c r="D27" i="1" s="1"/>
  <c r="C27" i="1" l="1"/>
  <c r="F11" i="1"/>
  <c r="G11" i="1" s="1"/>
  <c r="H11" i="1" s="1"/>
  <c r="E27" i="1" s="1"/>
  <c r="G14" i="1" l="1"/>
  <c r="D14" i="1"/>
  <c r="F14" i="1"/>
  <c r="D17" i="1" s="1"/>
  <c r="C14" i="1"/>
  <c r="F17" i="1" l="1"/>
  <c r="I24" i="1" s="1"/>
  <c r="E17" i="1"/>
  <c r="H24" i="1" s="1"/>
  <c r="C17" i="1"/>
  <c r="F24" i="1" s="1"/>
  <c r="G24" i="1"/>
  <c r="G20" i="1" l="1"/>
  <c r="H20" i="1"/>
  <c r="G17" i="1"/>
  <c r="H17" i="1"/>
  <c r="D24" i="1" l="1"/>
  <c r="C24" i="1"/>
  <c r="G27" i="1"/>
  <c r="C30" i="1" s="1"/>
</calcChain>
</file>

<file path=xl/sharedStrings.xml><?xml version="1.0" encoding="utf-8"?>
<sst xmlns="http://schemas.openxmlformats.org/spreadsheetml/2006/main" count="265" uniqueCount="209">
  <si>
    <t>electron beam</t>
    <phoneticPr fontId="1" type="noConversion"/>
  </si>
  <si>
    <t>undulator</t>
    <phoneticPr fontId="1" type="noConversion"/>
  </si>
  <si>
    <t>single electron source</t>
    <phoneticPr fontId="1" type="noConversion"/>
  </si>
  <si>
    <t>B (T)</t>
    <phoneticPr fontId="1" type="noConversion"/>
  </si>
  <si>
    <t>Kn</t>
    <phoneticPr fontId="1" type="noConversion"/>
  </si>
  <si>
    <t>nth harmonic light</t>
    <phoneticPr fontId="1" type="noConversion"/>
  </si>
  <si>
    <r>
      <rPr>
        <b/>
        <i/>
        <sz val="10"/>
        <color theme="1"/>
        <rFont val="Arial"/>
        <family val="2"/>
      </rPr>
      <t>ε</t>
    </r>
    <r>
      <rPr>
        <b/>
        <sz val="10"/>
        <color theme="1"/>
        <rFont val="Arial"/>
        <family val="2"/>
      </rPr>
      <t>ph,y (2pi, μm)</t>
    </r>
    <phoneticPr fontId="1" type="noConversion"/>
  </si>
  <si>
    <t>En (keV)</t>
    <phoneticPr fontId="1" type="noConversion"/>
  </si>
  <si>
    <t>σr (4pi, μm)</t>
    <phoneticPr fontId="1" type="noConversion"/>
  </si>
  <si>
    <t>Fn</t>
    <phoneticPr fontId="1" type="noConversion"/>
  </si>
  <si>
    <t>Qn</t>
    <phoneticPr fontId="1" type="noConversion"/>
  </si>
  <si>
    <t>σr (2pi, μm)</t>
    <phoneticPr fontId="1" type="noConversion"/>
  </si>
  <si>
    <r>
      <rPr>
        <b/>
        <i/>
        <sz val="10"/>
        <color theme="1"/>
        <rFont val="Arial"/>
        <family val="2"/>
      </rPr>
      <t>σ</t>
    </r>
    <r>
      <rPr>
        <b/>
        <sz val="10"/>
        <color theme="1"/>
        <rFont val="Arial"/>
        <family val="2"/>
      </rPr>
      <t>ph, y (2pi, μm)</t>
    </r>
    <phoneticPr fontId="1" type="noConversion"/>
  </si>
  <si>
    <t>4PI</t>
    <phoneticPr fontId="1" type="noConversion"/>
  </si>
  <si>
    <t>2PI</t>
    <phoneticPr fontId="1" type="noConversion"/>
  </si>
  <si>
    <r>
      <t xml:space="preserve">Liu (cm </t>
    </r>
    <r>
      <rPr>
        <b/>
        <sz val="10"/>
        <color theme="1"/>
        <rFont val="微软雅黑"/>
        <family val="2"/>
        <charset val="134"/>
      </rPr>
      <t>插入件周期</t>
    </r>
    <r>
      <rPr>
        <b/>
        <sz val="10"/>
        <color theme="1"/>
        <rFont val="Arial"/>
        <family val="2"/>
      </rPr>
      <t>)</t>
    </r>
    <phoneticPr fontId="1" type="noConversion"/>
  </si>
  <si>
    <r>
      <t>Nu (</t>
    </r>
    <r>
      <rPr>
        <b/>
        <sz val="10"/>
        <color theme="1"/>
        <rFont val="微软雅黑"/>
        <family val="2"/>
        <charset val="134"/>
      </rPr>
      <t>插入件周期数</t>
    </r>
    <r>
      <rPr>
        <b/>
        <sz val="10"/>
        <color theme="1"/>
        <rFont val="Arial"/>
        <family val="2"/>
      </rPr>
      <t>)</t>
    </r>
    <phoneticPr fontId="1" type="noConversion"/>
  </si>
  <si>
    <r>
      <t xml:space="preserve">Lu (cm </t>
    </r>
    <r>
      <rPr>
        <b/>
        <sz val="10"/>
        <color theme="1"/>
        <rFont val="微软雅黑"/>
        <family val="2"/>
        <charset val="134"/>
      </rPr>
      <t>插入件总长</t>
    </r>
    <r>
      <rPr>
        <b/>
        <sz val="10"/>
        <color theme="1"/>
        <rFont val="Arial"/>
        <family val="2"/>
      </rPr>
      <t>)</t>
    </r>
    <phoneticPr fontId="1" type="noConversion"/>
  </si>
  <si>
    <r>
      <t>nth  (</t>
    </r>
    <r>
      <rPr>
        <b/>
        <sz val="10"/>
        <color theme="1"/>
        <rFont val="微软雅黑"/>
        <family val="2"/>
        <charset val="134"/>
      </rPr>
      <t>谐波级数</t>
    </r>
    <r>
      <rPr>
        <b/>
        <sz val="10"/>
        <color theme="1"/>
        <rFont val="Arial"/>
        <family val="2"/>
      </rPr>
      <t>)</t>
    </r>
    <phoneticPr fontId="1" type="noConversion"/>
  </si>
  <si>
    <r>
      <t>Ku (</t>
    </r>
    <r>
      <rPr>
        <b/>
        <sz val="10"/>
        <color theme="1"/>
        <rFont val="微软雅黑"/>
        <family val="2"/>
        <charset val="134"/>
      </rPr>
      <t>插入元件参数</t>
    </r>
    <r>
      <rPr>
        <b/>
        <sz val="10"/>
        <color theme="1"/>
        <rFont val="Arial"/>
        <family val="2"/>
      </rPr>
      <t>)</t>
    </r>
    <phoneticPr fontId="1" type="noConversion"/>
  </si>
  <si>
    <t>Current (A)</t>
    <phoneticPr fontId="1" type="noConversion"/>
  </si>
  <si>
    <t>Energy (GeV)</t>
    <phoneticPr fontId="1" type="noConversion"/>
  </si>
  <si>
    <t>Energy spread</t>
    <phoneticPr fontId="1" type="noConversion"/>
  </si>
  <si>
    <t>wave_length n (A)</t>
    <phoneticPr fontId="1" type="noConversion"/>
  </si>
  <si>
    <r>
      <rPr>
        <b/>
        <i/>
        <sz val="10"/>
        <color theme="1"/>
        <rFont val="Arial"/>
        <family val="2"/>
      </rPr>
      <t>ε</t>
    </r>
    <r>
      <rPr>
        <b/>
        <sz val="10"/>
        <color theme="1"/>
        <rFont val="Arial"/>
        <family val="2"/>
      </rPr>
      <t xml:space="preserve"> (4pi, μm2 </t>
    </r>
    <r>
      <rPr>
        <b/>
        <sz val="10"/>
        <color theme="1"/>
        <rFont val="微软雅黑"/>
        <family val="2"/>
        <charset val="134"/>
      </rPr>
      <t>发射度</t>
    </r>
    <r>
      <rPr>
        <b/>
        <sz val="10"/>
        <color theme="1"/>
        <rFont val="Arial"/>
        <family val="2"/>
      </rPr>
      <t>)</t>
    </r>
    <phoneticPr fontId="1" type="noConversion"/>
  </si>
  <si>
    <r>
      <rPr>
        <b/>
        <i/>
        <sz val="10"/>
        <color theme="1"/>
        <rFont val="Arial"/>
        <family val="2"/>
      </rPr>
      <t>σ</t>
    </r>
    <r>
      <rPr>
        <b/>
        <sz val="10"/>
        <color theme="1"/>
        <rFont val="Arial"/>
        <family val="2"/>
      </rPr>
      <t>x' (μrad)</t>
    </r>
    <phoneticPr fontId="1" type="noConversion"/>
  </si>
  <si>
    <t>σy' (μrad)</t>
    <phoneticPr fontId="1" type="noConversion"/>
  </si>
  <si>
    <t>σr' (4pi, μrad)</t>
    <phoneticPr fontId="1" type="noConversion"/>
  </si>
  <si>
    <t>σr' (2pi, μrad)</t>
    <phoneticPr fontId="1" type="noConversion"/>
  </si>
  <si>
    <r>
      <rPr>
        <b/>
        <i/>
        <sz val="10"/>
        <color theme="1"/>
        <rFont val="Arial"/>
        <family val="2"/>
      </rPr>
      <t>ε</t>
    </r>
    <r>
      <rPr>
        <b/>
        <sz val="10"/>
        <color theme="1"/>
        <rFont val="Arial"/>
        <family val="2"/>
      </rPr>
      <t>ph,x (2pi, μm)</t>
    </r>
    <phoneticPr fontId="1" type="noConversion"/>
  </si>
  <si>
    <r>
      <rPr>
        <b/>
        <i/>
        <sz val="10"/>
        <color theme="1"/>
        <rFont val="Arial"/>
        <family val="2"/>
      </rPr>
      <t>σ</t>
    </r>
    <r>
      <rPr>
        <b/>
        <sz val="10"/>
        <color theme="1"/>
        <rFont val="Arial"/>
        <family val="2"/>
      </rPr>
      <t>ph, y' (2pi, μrad)</t>
    </r>
    <phoneticPr fontId="1" type="noConversion"/>
  </si>
  <si>
    <r>
      <rPr>
        <b/>
        <i/>
        <sz val="10"/>
        <color theme="1"/>
        <rFont val="Arial"/>
        <family val="2"/>
      </rPr>
      <t>σ</t>
    </r>
    <r>
      <rPr>
        <b/>
        <sz val="10"/>
        <color theme="1"/>
        <rFont val="Arial"/>
        <family val="2"/>
      </rPr>
      <t>ph, x' (2pi, μrad)</t>
    </r>
    <phoneticPr fontId="1" type="noConversion"/>
  </si>
  <si>
    <r>
      <rPr>
        <b/>
        <i/>
        <sz val="10"/>
        <color theme="1"/>
        <rFont val="Arial"/>
        <family val="2"/>
      </rPr>
      <t>β</t>
    </r>
    <r>
      <rPr>
        <b/>
        <sz val="10"/>
        <color theme="1"/>
        <rFont val="Arial"/>
        <family val="2"/>
      </rPr>
      <t>y (m</t>
    </r>
    <r>
      <rPr>
        <b/>
        <sz val="10"/>
        <color theme="1"/>
        <rFont val="Arial"/>
        <family val="2"/>
      </rPr>
      <t>)</t>
    </r>
    <phoneticPr fontId="1" type="noConversion"/>
  </si>
  <si>
    <r>
      <rPr>
        <b/>
        <i/>
        <sz val="10"/>
        <color theme="1"/>
        <rFont val="Arial"/>
        <family val="2"/>
      </rPr>
      <t>ε</t>
    </r>
    <r>
      <rPr>
        <b/>
        <sz val="10"/>
        <color theme="1"/>
        <rFont val="Arial"/>
        <family val="2"/>
      </rPr>
      <t xml:space="preserve"> (2pi, μm2)</t>
    </r>
    <phoneticPr fontId="1" type="noConversion"/>
  </si>
  <si>
    <t>coherence fraction</t>
    <phoneticPr fontId="1" type="noConversion"/>
  </si>
  <si>
    <t>SR source (2pi)</t>
    <phoneticPr fontId="1" type="noConversion"/>
  </si>
  <si>
    <t>Beamline</t>
    <phoneticPr fontId="1" type="noConversion"/>
  </si>
  <si>
    <r>
      <rPr>
        <b/>
        <i/>
        <sz val="10"/>
        <color theme="1"/>
        <rFont val="Arial"/>
        <family val="2"/>
      </rPr>
      <t>σ</t>
    </r>
    <r>
      <rPr>
        <b/>
        <sz val="10"/>
        <color theme="1"/>
        <rFont val="Arial"/>
        <family val="2"/>
      </rPr>
      <t>x (μm)</t>
    </r>
    <phoneticPr fontId="1" type="noConversion"/>
  </si>
  <si>
    <t>aperture (μm)</t>
    <phoneticPr fontId="1" type="noConversion"/>
  </si>
  <si>
    <r>
      <rPr>
        <b/>
        <i/>
        <sz val="10"/>
        <color theme="1"/>
        <rFont val="Arial"/>
        <family val="2"/>
      </rPr>
      <t>σ</t>
    </r>
    <r>
      <rPr>
        <b/>
        <sz val="10"/>
        <color theme="1"/>
        <rFont val="Arial"/>
        <family val="2"/>
      </rPr>
      <t>y (μm)</t>
    </r>
    <phoneticPr fontId="1" type="noConversion"/>
  </si>
  <si>
    <r>
      <rPr>
        <b/>
        <i/>
        <sz val="10"/>
        <color theme="1"/>
        <rFont val="Arial"/>
        <family val="2"/>
      </rPr>
      <t>σ</t>
    </r>
    <r>
      <rPr>
        <b/>
        <sz val="10"/>
        <color theme="1"/>
        <rFont val="Arial"/>
        <family val="2"/>
      </rPr>
      <t>ph, x (2pi, μm)</t>
    </r>
    <phoneticPr fontId="1" type="noConversion"/>
  </si>
  <si>
    <t>distance (m)</t>
    <phoneticPr fontId="1" type="noConversion"/>
  </si>
  <si>
    <t>total acceptance</t>
    <phoneticPr fontId="1" type="noConversion"/>
  </si>
  <si>
    <t>source</t>
    <phoneticPr fontId="1" type="noConversion"/>
  </si>
  <si>
    <t>geometry size (μm)</t>
    <phoneticPr fontId="1" type="noConversion"/>
  </si>
  <si>
    <t>diffraction size (μm)</t>
    <phoneticPr fontId="1" type="noConversion"/>
  </si>
  <si>
    <t>image length (m)</t>
    <phoneticPr fontId="1" type="noConversion"/>
  </si>
  <si>
    <t>Lattice constant</t>
    <phoneticPr fontId="13" type="noConversion"/>
  </si>
  <si>
    <t>Delta (0.1 nm)</t>
    <phoneticPr fontId="13" type="noConversion"/>
  </si>
  <si>
    <t>Beta (0.1 nm)</t>
    <phoneticPr fontId="13" type="noConversion"/>
  </si>
  <si>
    <t>111 Plane (nm)</t>
    <phoneticPr fontId="13" type="noConversion"/>
  </si>
  <si>
    <t>112 Plane (nm)</t>
    <phoneticPr fontId="13" type="noConversion"/>
  </si>
  <si>
    <t>113 Plane (nm)</t>
    <phoneticPr fontId="13" type="noConversion"/>
  </si>
  <si>
    <t>114 Plane (nm)</t>
    <phoneticPr fontId="13" type="noConversion"/>
  </si>
  <si>
    <t>115 Plane (nm)</t>
    <phoneticPr fontId="13" type="noConversion"/>
  </si>
  <si>
    <t>225 Plane (nm)</t>
    <phoneticPr fontId="13" type="noConversion"/>
  </si>
  <si>
    <t>223 Plane (nm)</t>
    <phoneticPr fontId="13" type="noConversion"/>
  </si>
  <si>
    <t>119 Plane (nm)</t>
    <phoneticPr fontId="13" type="noConversion"/>
  </si>
  <si>
    <t>117 Plane (nm)</t>
    <phoneticPr fontId="13" type="noConversion"/>
  </si>
  <si>
    <t>116 Plane (nm)</t>
    <phoneticPr fontId="13" type="noConversion"/>
  </si>
  <si>
    <t>incident angle (rad)</t>
    <phoneticPr fontId="1" type="noConversion"/>
  </si>
  <si>
    <t>Coherence length y (2pi, μm)</t>
    <phoneticPr fontId="1" type="noConversion"/>
  </si>
  <si>
    <t>Coherence length x (2pi, μm)</t>
    <phoneticPr fontId="1" type="noConversion"/>
  </si>
  <si>
    <t>Intensity size x (σ 2pi, μm)</t>
    <phoneticPr fontId="1" type="noConversion"/>
  </si>
  <si>
    <t>Intensity size y (σ 2pi, μm)</t>
    <phoneticPr fontId="1" type="noConversion"/>
  </si>
  <si>
    <t>coherent focus</t>
    <phoneticPr fontId="1" type="noConversion"/>
  </si>
  <si>
    <t>geometry</t>
    <phoneticPr fontId="1" type="noConversion"/>
  </si>
  <si>
    <t>Focus</t>
    <phoneticPr fontId="1" type="noConversion"/>
  </si>
  <si>
    <t>SR source (4pi)</t>
    <phoneticPr fontId="1" type="noConversion"/>
  </si>
  <si>
    <r>
      <rPr>
        <b/>
        <i/>
        <sz val="10"/>
        <color theme="1"/>
        <rFont val="Arial"/>
        <family val="2"/>
      </rPr>
      <t>σ</t>
    </r>
    <r>
      <rPr>
        <b/>
        <sz val="10"/>
        <color theme="1"/>
        <rFont val="Arial"/>
        <family val="2"/>
      </rPr>
      <t>ph, x (4pi, μm)</t>
    </r>
    <phoneticPr fontId="1" type="noConversion"/>
  </si>
  <si>
    <r>
      <rPr>
        <b/>
        <i/>
        <sz val="10"/>
        <color theme="1"/>
        <rFont val="Arial"/>
        <family val="2"/>
      </rPr>
      <t>σ</t>
    </r>
    <r>
      <rPr>
        <b/>
        <sz val="10"/>
        <color theme="1"/>
        <rFont val="Arial"/>
        <family val="2"/>
      </rPr>
      <t>ph, y (4pi, μm)</t>
    </r>
    <phoneticPr fontId="1" type="noConversion"/>
  </si>
  <si>
    <r>
      <rPr>
        <b/>
        <i/>
        <sz val="10"/>
        <color theme="1"/>
        <rFont val="Arial"/>
        <family val="2"/>
      </rPr>
      <t>σ</t>
    </r>
    <r>
      <rPr>
        <b/>
        <sz val="10"/>
        <color theme="1"/>
        <rFont val="Arial"/>
        <family val="2"/>
      </rPr>
      <t>ph, x' (4pi, μrad)</t>
    </r>
    <phoneticPr fontId="1" type="noConversion"/>
  </si>
  <si>
    <r>
      <rPr>
        <b/>
        <i/>
        <sz val="10"/>
        <color theme="1"/>
        <rFont val="Arial"/>
        <family val="2"/>
      </rPr>
      <t>σ</t>
    </r>
    <r>
      <rPr>
        <b/>
        <sz val="10"/>
        <color theme="1"/>
        <rFont val="Arial"/>
        <family val="2"/>
      </rPr>
      <t>ph, y' (4pi, μrad)</t>
    </r>
    <phoneticPr fontId="1" type="noConversion"/>
  </si>
  <si>
    <r>
      <rPr>
        <b/>
        <i/>
        <sz val="10"/>
        <color theme="1"/>
        <rFont val="Arial"/>
        <family val="2"/>
      </rPr>
      <t>ε</t>
    </r>
    <r>
      <rPr>
        <b/>
        <sz val="10"/>
        <color theme="1"/>
        <rFont val="Arial"/>
        <family val="2"/>
      </rPr>
      <t>ph,x (4pi, μm)</t>
    </r>
    <phoneticPr fontId="1" type="noConversion"/>
  </si>
  <si>
    <r>
      <rPr>
        <b/>
        <i/>
        <sz val="10"/>
        <color theme="1"/>
        <rFont val="Arial"/>
        <family val="2"/>
      </rPr>
      <t>ε</t>
    </r>
    <r>
      <rPr>
        <b/>
        <sz val="10"/>
        <color theme="1"/>
        <rFont val="Arial"/>
        <family val="2"/>
      </rPr>
      <t>ph,y (4pi, μm)</t>
    </r>
    <phoneticPr fontId="1" type="noConversion"/>
  </si>
  <si>
    <t>Si</t>
    <phoneticPr fontId="1" type="noConversion"/>
  </si>
  <si>
    <t>single crystal</t>
    <phoneticPr fontId="1" type="noConversion"/>
  </si>
  <si>
    <t xml:space="preserve"> undulator</t>
    <phoneticPr fontId="1" type="noConversion"/>
  </si>
  <si>
    <t>B4</t>
    <phoneticPr fontId="1" type="noConversion"/>
  </si>
  <si>
    <t>Diamond</t>
    <phoneticPr fontId="1" type="noConversion"/>
  </si>
  <si>
    <t>Crystal structrue</t>
    <phoneticPr fontId="1" type="noConversion"/>
  </si>
  <si>
    <t>Lattice constant</t>
    <phoneticPr fontId="1" type="noConversion"/>
  </si>
  <si>
    <t>Thomson scatering length (A)</t>
    <phoneticPr fontId="1" type="noConversion"/>
  </si>
  <si>
    <t>L</t>
    <phoneticPr fontId="1" type="noConversion"/>
  </si>
  <si>
    <t>H</t>
    <phoneticPr fontId="1" type="noConversion"/>
  </si>
  <si>
    <t>abs(Structure factor parameter)</t>
    <phoneticPr fontId="1" type="noConversion"/>
  </si>
  <si>
    <t>K</t>
    <phoneticPr fontId="1" type="noConversion"/>
  </si>
  <si>
    <t>bragg diffraction</t>
    <phoneticPr fontId="1" type="noConversion"/>
  </si>
  <si>
    <t>darwin calculation</t>
    <phoneticPr fontId="1" type="noConversion"/>
  </si>
  <si>
    <t>sillicon basics</t>
    <phoneticPr fontId="1" type="noConversion"/>
  </si>
  <si>
    <t>volume (A3)</t>
    <phoneticPr fontId="1" type="noConversion"/>
  </si>
  <si>
    <t>energy resolution</t>
    <phoneticPr fontId="1" type="noConversion"/>
  </si>
  <si>
    <t>Darwin width (FWHM, mrad)</t>
    <phoneticPr fontId="1" type="noConversion"/>
  </si>
  <si>
    <t xml:space="preserve">single crystal </t>
    <phoneticPr fontId="1" type="noConversion"/>
  </si>
  <si>
    <t>angle difference (mrad)</t>
    <phoneticPr fontId="1" type="noConversion"/>
  </si>
  <si>
    <t>Monochromater</t>
    <phoneticPr fontId="1" type="noConversion"/>
  </si>
  <si>
    <t>CRL</t>
    <phoneticPr fontId="1" type="noConversion"/>
  </si>
  <si>
    <t>Be</t>
    <phoneticPr fontId="1" type="noConversion"/>
  </si>
  <si>
    <t>augular Darwin width (mrad)</t>
    <phoneticPr fontId="1" type="noConversion"/>
  </si>
  <si>
    <t>aymmetry angle (rad)</t>
    <phoneticPr fontId="1" type="noConversion"/>
  </si>
  <si>
    <t>aymmetry parameter</t>
    <phoneticPr fontId="1" type="noConversion"/>
  </si>
  <si>
    <t>Sillicon</t>
    <phoneticPr fontId="1" type="noConversion"/>
  </si>
  <si>
    <t>double angular width  (mrad)</t>
    <phoneticPr fontId="1" type="noConversion"/>
  </si>
  <si>
    <t>refractive parameter 1</t>
    <phoneticPr fontId="1" type="noConversion"/>
  </si>
  <si>
    <t>refractive parameter 2</t>
    <phoneticPr fontId="1" type="noConversion"/>
  </si>
  <si>
    <t>refractvie factor</t>
    <phoneticPr fontId="1" type="noConversion"/>
  </si>
  <si>
    <t>be basics</t>
    <phoneticPr fontId="1" type="noConversion"/>
  </si>
  <si>
    <t>horizontal n lens</t>
    <phoneticPr fontId="1" type="noConversion"/>
  </si>
  <si>
    <t>horizontal radius (um)</t>
    <phoneticPr fontId="1" type="noConversion"/>
  </si>
  <si>
    <t>vertical n lens</t>
    <phoneticPr fontId="1" type="noConversion"/>
  </si>
  <si>
    <t>vertical radius (um)</t>
    <phoneticPr fontId="1" type="noConversion"/>
  </si>
  <si>
    <t>horizontal focus length (m)</t>
    <phoneticPr fontId="1" type="noConversion"/>
  </si>
  <si>
    <t>vertical focus length (m)</t>
    <phoneticPr fontId="1" type="noConversion"/>
  </si>
  <si>
    <t xml:space="preserve">double crystal </t>
    <phoneticPr fontId="1" type="noConversion"/>
  </si>
  <si>
    <r>
      <rPr>
        <b/>
        <i/>
        <sz val="10"/>
        <color theme="1"/>
        <rFont val="Arial"/>
        <family val="2"/>
      </rPr>
      <t>β</t>
    </r>
    <r>
      <rPr>
        <b/>
        <sz val="10"/>
        <color theme="1"/>
        <rFont val="Arial"/>
        <family val="2"/>
      </rPr>
      <t xml:space="preserve">x (m </t>
    </r>
    <r>
      <rPr>
        <b/>
        <sz val="10"/>
        <color theme="1"/>
        <rFont val="微软雅黑"/>
        <family val="2"/>
        <charset val="134"/>
      </rPr>
      <t>振荡函数</t>
    </r>
    <r>
      <rPr>
        <b/>
        <sz val="10"/>
        <color theme="1"/>
        <rFont val="Arial"/>
        <family val="2"/>
      </rPr>
      <t>)</t>
    </r>
    <phoneticPr fontId="1" type="noConversion"/>
  </si>
  <si>
    <r>
      <t>N_Flux_n (photons</t>
    </r>
    <r>
      <rPr>
        <b/>
        <sz val="10"/>
        <color theme="1"/>
        <rFont val="微软雅黑"/>
        <family val="2"/>
        <charset val="134"/>
      </rPr>
      <t>光子数/[s×0.1%带宽]</t>
    </r>
    <r>
      <rPr>
        <b/>
        <sz val="10"/>
        <color theme="1"/>
        <rFont val="Arial"/>
        <family val="2"/>
      </rPr>
      <t>)</t>
    </r>
    <phoneticPr fontId="1" type="noConversion"/>
  </si>
  <si>
    <r>
      <t>Flux of coherence (photons</t>
    </r>
    <r>
      <rPr>
        <b/>
        <sz val="10"/>
        <color theme="1"/>
        <rFont val="微软雅黑"/>
        <family val="2"/>
        <charset val="134"/>
      </rPr>
      <t>光子数/[s×0.1%带宽×mrad2立体角]</t>
    </r>
    <r>
      <rPr>
        <sz val="11"/>
        <color theme="1"/>
        <rFont val="Consolas"/>
        <family val="2"/>
        <charset val="134"/>
      </rPr>
      <t>)</t>
    </r>
    <phoneticPr fontId="1" type="noConversion"/>
  </si>
  <si>
    <r>
      <t>Br_n (photons</t>
    </r>
    <r>
      <rPr>
        <b/>
        <sz val="10"/>
        <color theme="1"/>
        <rFont val="微软雅黑"/>
        <family val="2"/>
        <charset val="134"/>
      </rPr>
      <t>光子数/[s×0.1%带宽×mm2面积×mrad2立体角]</t>
    </r>
    <r>
      <rPr>
        <b/>
        <sz val="10"/>
        <color theme="1"/>
        <rFont val="Arial"/>
        <family val="2"/>
      </rPr>
      <t>)</t>
    </r>
    <phoneticPr fontId="1" type="noConversion"/>
  </si>
  <si>
    <r>
      <rPr>
        <b/>
        <i/>
        <sz val="10"/>
        <color theme="1"/>
        <rFont val="Arial"/>
        <family val="2"/>
      </rPr>
      <t>ξ</t>
    </r>
    <r>
      <rPr>
        <b/>
        <sz val="10"/>
        <color theme="1"/>
        <rFont val="Arial"/>
        <family val="2"/>
      </rPr>
      <t>(2pi coherent fraction</t>
    </r>
    <r>
      <rPr>
        <b/>
        <sz val="10"/>
        <color theme="1"/>
        <rFont val="Arial"/>
        <family val="2"/>
      </rPr>
      <t>)</t>
    </r>
    <phoneticPr fontId="1" type="noConversion"/>
  </si>
  <si>
    <r>
      <rPr>
        <b/>
        <i/>
        <sz val="10"/>
        <color theme="1"/>
        <rFont val="Arial"/>
        <family val="2"/>
      </rPr>
      <t>ξ</t>
    </r>
    <r>
      <rPr>
        <b/>
        <sz val="10"/>
        <color theme="1"/>
        <rFont val="Arial"/>
        <family val="2"/>
      </rPr>
      <t>(4pi coherent fraction)</t>
    </r>
    <phoneticPr fontId="1" type="noConversion"/>
  </si>
  <si>
    <t>n lens</t>
    <phoneticPr fontId="1" type="noConversion"/>
  </si>
  <si>
    <t>thickness (mm)</t>
    <phoneticPr fontId="1" type="noConversion"/>
  </si>
  <si>
    <t>attenuation length (m @20.0 keV)</t>
    <phoneticPr fontId="1" type="noConversion"/>
  </si>
  <si>
    <t>attenuation length (m @12.4 keV)</t>
    <phoneticPr fontId="1" type="noConversion"/>
  </si>
  <si>
    <t>attenuation length (m @10.0 keV)</t>
    <phoneticPr fontId="1" type="noConversion"/>
  </si>
  <si>
    <t>attenuation length (m @8.0 keV)</t>
    <phoneticPr fontId="1" type="noConversion"/>
  </si>
  <si>
    <t>Thermal deformation</t>
    <phoneticPr fontId="1" type="noConversion"/>
  </si>
  <si>
    <t>Monochromater</t>
    <phoneticPr fontId="1" type="noConversion"/>
  </si>
  <si>
    <t>focus</t>
    <phoneticPr fontId="1" type="noConversion"/>
  </si>
  <si>
    <t>absorption</t>
    <phoneticPr fontId="1" type="noConversion"/>
  </si>
  <si>
    <t>focus length calculator</t>
    <phoneticPr fontId="1" type="noConversion"/>
  </si>
  <si>
    <t>focus length 1 (m)</t>
    <phoneticPr fontId="1" type="noConversion"/>
  </si>
  <si>
    <t>focus length 2 (m)</t>
    <phoneticPr fontId="1" type="noConversion"/>
  </si>
  <si>
    <t>focus length 3 (m)</t>
    <phoneticPr fontId="1" type="noConversion"/>
  </si>
  <si>
    <t>focus length 4 (m)</t>
    <phoneticPr fontId="1" type="noConversion"/>
  </si>
  <si>
    <t>focus length 5 (m)</t>
    <phoneticPr fontId="1" type="noConversion"/>
  </si>
  <si>
    <t>focus length (m)</t>
    <phoneticPr fontId="1" type="noConversion"/>
  </si>
  <si>
    <t>wavelength (A)</t>
    <phoneticPr fontId="1" type="noConversion"/>
  </si>
  <si>
    <t>energy (keV)</t>
    <phoneticPr fontId="1" type="noConversion"/>
  </si>
  <si>
    <t>atomic form factor</t>
    <phoneticPr fontId="1" type="noConversion"/>
  </si>
  <si>
    <t>crystal structrue</t>
    <phoneticPr fontId="1" type="noConversion"/>
  </si>
  <si>
    <t>plane distance (nm)</t>
    <phoneticPr fontId="1" type="noConversion"/>
  </si>
  <si>
    <t>lattice constant (nm)</t>
    <phoneticPr fontId="1" type="noConversion"/>
  </si>
  <si>
    <t>wave length (A)</t>
    <phoneticPr fontId="1" type="noConversion"/>
  </si>
  <si>
    <t>source angular divergence (urad)</t>
    <phoneticPr fontId="1" type="noConversion"/>
  </si>
  <si>
    <t xml:space="preserve">index of diffraction </t>
    <phoneticPr fontId="1" type="noConversion"/>
  </si>
  <si>
    <t>energy (keV)</t>
    <phoneticPr fontId="1" type="noConversion"/>
  </si>
  <si>
    <r>
      <t>source size</t>
    </r>
    <r>
      <rPr>
        <b/>
        <i/>
        <sz val="10"/>
        <color theme="1"/>
        <rFont val="Arial"/>
        <family val="2"/>
      </rPr>
      <t xml:space="preserve"> σ</t>
    </r>
    <r>
      <rPr>
        <b/>
        <sz val="10"/>
        <color theme="1"/>
        <rFont val="Arial"/>
        <family val="2"/>
      </rPr>
      <t>ph (2pi, μm)</t>
    </r>
    <phoneticPr fontId="1" type="noConversion"/>
  </si>
  <si>
    <t>single electron σr (2pi, μm)</t>
    <phoneticPr fontId="1" type="noConversion"/>
  </si>
  <si>
    <t>wave length n (A)</t>
    <phoneticPr fontId="1" type="noConversion"/>
  </si>
  <si>
    <t>refractive index</t>
    <phoneticPr fontId="1" type="noConversion"/>
  </si>
  <si>
    <t>object length (m)</t>
    <phoneticPr fontId="1" type="noConversion"/>
  </si>
  <si>
    <t>coherent length (μm)</t>
    <phoneticPr fontId="1" type="noConversion"/>
  </si>
  <si>
    <t>abbe resolution (μm)</t>
    <phoneticPr fontId="1" type="noConversion"/>
  </si>
  <si>
    <t>diffraction size (μm)</t>
    <phoneticPr fontId="1" type="noConversion"/>
  </si>
  <si>
    <t>abbe resolution (μm)</t>
    <phoneticPr fontId="1" type="noConversion"/>
  </si>
  <si>
    <t>depth of focus (mm)</t>
    <phoneticPr fontId="1" type="noConversion"/>
  </si>
  <si>
    <t>numerical aperture</t>
    <phoneticPr fontId="1" type="noConversion"/>
  </si>
  <si>
    <t>focus length (m, sag)</t>
    <phoneticPr fontId="1" type="noConversion"/>
  </si>
  <si>
    <t>focus length (m, tang)</t>
    <phoneticPr fontId="1" type="noConversion"/>
  </si>
  <si>
    <t>source shift (m, tang)</t>
    <phoneticPr fontId="1" type="noConversion"/>
  </si>
  <si>
    <t>deformation sagittal radius (m)</t>
    <phoneticPr fontId="1" type="noConversion"/>
  </si>
  <si>
    <t>deformation tangential radius (m)</t>
    <phoneticPr fontId="1" type="noConversion"/>
  </si>
  <si>
    <t>incident angle (rad)</t>
    <phoneticPr fontId="1" type="noConversion"/>
  </si>
  <si>
    <t>monochromator location (m)</t>
    <phoneticPr fontId="1" type="noConversion"/>
  </si>
  <si>
    <t>p_mirror (m)</t>
    <phoneticPr fontId="1" type="noConversion"/>
  </si>
  <si>
    <t>q_mirror (m)</t>
    <phoneticPr fontId="1" type="noConversion"/>
  </si>
  <si>
    <t>source shift (m, sag)</t>
    <phoneticPr fontId="1" type="noConversion"/>
  </si>
  <si>
    <t>focus shift  (m, sag)</t>
    <phoneticPr fontId="1" type="noConversion"/>
  </si>
  <si>
    <t>maximum crl radius (um)</t>
    <phoneticPr fontId="1" type="noConversion"/>
  </si>
  <si>
    <t>n crl sagittal</t>
    <phoneticPr fontId="1" type="noConversion"/>
  </si>
  <si>
    <t>n crl tangential</t>
    <phoneticPr fontId="1" type="noConversion"/>
  </si>
  <si>
    <t>maximum crl focus length (m)</t>
    <phoneticPr fontId="1" type="noConversion"/>
  </si>
  <si>
    <t>thermal deformation geometry</t>
    <phoneticPr fontId="1" type="noConversion"/>
  </si>
  <si>
    <t>defromation effect</t>
    <phoneticPr fontId="1" type="noConversion"/>
  </si>
  <si>
    <t>crl correction</t>
    <phoneticPr fontId="1" type="noConversion"/>
  </si>
  <si>
    <t>Substrate</t>
    <phoneticPr fontId="1" type="noConversion"/>
  </si>
  <si>
    <t>incident angle (°)</t>
    <phoneticPr fontId="1" type="noConversion"/>
  </si>
  <si>
    <t>Plane distance (A)</t>
    <phoneticPr fontId="1" type="noConversion"/>
  </si>
  <si>
    <t>H</t>
    <phoneticPr fontId="1" type="noConversion"/>
  </si>
  <si>
    <t>K</t>
    <phoneticPr fontId="1" type="noConversion"/>
  </si>
  <si>
    <t>L</t>
    <phoneticPr fontId="1" type="noConversion"/>
  </si>
  <si>
    <t>V</t>
    <phoneticPr fontId="1" type="noConversion"/>
  </si>
  <si>
    <t>The index of diffraction pattern</t>
    <phoneticPr fontId="1" type="noConversion"/>
  </si>
  <si>
    <r>
      <t xml:space="preserve">a, </t>
    </r>
    <r>
      <rPr>
        <b/>
        <i/>
        <sz val="12"/>
        <rFont val="Symbol"/>
        <family val="1"/>
        <charset val="2"/>
      </rPr>
      <t>a</t>
    </r>
    <phoneticPr fontId="1" type="noConversion"/>
  </si>
  <si>
    <r>
      <t xml:space="preserve">b, </t>
    </r>
    <r>
      <rPr>
        <b/>
        <i/>
        <sz val="12"/>
        <rFont val="Symbol"/>
        <family val="1"/>
        <charset val="2"/>
      </rPr>
      <t xml:space="preserve">b </t>
    </r>
    <phoneticPr fontId="1" type="noConversion"/>
  </si>
  <si>
    <r>
      <t xml:space="preserve">c, </t>
    </r>
    <r>
      <rPr>
        <b/>
        <i/>
        <sz val="12"/>
        <rFont val="Symbol"/>
        <family val="1"/>
        <charset val="2"/>
      </rPr>
      <t>g</t>
    </r>
    <phoneticPr fontId="1" type="noConversion"/>
  </si>
  <si>
    <r>
      <rPr>
        <b/>
        <i/>
        <sz val="12"/>
        <color theme="1"/>
        <rFont val="Arial"/>
        <family val="2"/>
      </rPr>
      <t>φ</t>
    </r>
    <r>
      <rPr>
        <b/>
        <sz val="12"/>
        <color theme="1"/>
        <rFont val="Arial"/>
        <family val="2"/>
      </rPr>
      <t xml:space="preserve"> (°)</t>
    </r>
    <phoneticPr fontId="1" type="noConversion"/>
  </si>
  <si>
    <r>
      <t>2</t>
    </r>
    <r>
      <rPr>
        <b/>
        <i/>
        <sz val="12"/>
        <color theme="1"/>
        <rFont val="Arial"/>
        <family val="2"/>
      </rPr>
      <t>d</t>
    </r>
    <r>
      <rPr>
        <b/>
        <sz val="12"/>
        <color theme="1"/>
        <rFont val="Arial"/>
        <family val="2"/>
      </rPr>
      <t>(A)</t>
    </r>
    <phoneticPr fontId="1" type="noConversion"/>
  </si>
  <si>
    <r>
      <t>2</t>
    </r>
    <r>
      <rPr>
        <b/>
        <i/>
        <sz val="12"/>
        <color theme="1"/>
        <rFont val="Arial"/>
        <family val="2"/>
      </rPr>
      <t xml:space="preserve">θ </t>
    </r>
    <r>
      <rPr>
        <b/>
        <sz val="12"/>
        <color theme="1"/>
        <rFont val="Arial"/>
        <family val="2"/>
      </rPr>
      <t>(°)</t>
    </r>
    <phoneticPr fontId="1" type="noConversion"/>
  </si>
  <si>
    <r>
      <rPr>
        <i/>
        <sz val="12"/>
        <color theme="1"/>
        <rFont val="Arial"/>
        <family val="2"/>
      </rPr>
      <t>S</t>
    </r>
    <r>
      <rPr>
        <sz val="12"/>
        <color theme="1"/>
        <rFont val="Arial"/>
        <family val="2"/>
      </rPr>
      <t>11</t>
    </r>
    <phoneticPr fontId="1" type="noConversion"/>
  </si>
  <si>
    <r>
      <rPr>
        <b/>
        <i/>
        <sz val="12"/>
        <color theme="1"/>
        <rFont val="Arial"/>
        <family val="2"/>
      </rPr>
      <t xml:space="preserve">w </t>
    </r>
    <r>
      <rPr>
        <b/>
        <sz val="12"/>
        <color theme="1"/>
        <rFont val="Arial"/>
        <family val="2"/>
      </rPr>
      <t>(°)</t>
    </r>
    <phoneticPr fontId="1" type="noConversion"/>
  </si>
  <si>
    <r>
      <rPr>
        <i/>
        <sz val="12"/>
        <color theme="1"/>
        <rFont val="Arial"/>
        <family val="2"/>
      </rPr>
      <t>S</t>
    </r>
    <r>
      <rPr>
        <sz val="12"/>
        <color theme="1"/>
        <rFont val="Arial"/>
        <family val="2"/>
      </rPr>
      <t>22</t>
    </r>
    <phoneticPr fontId="1" type="noConversion"/>
  </si>
  <si>
    <r>
      <rPr>
        <i/>
        <sz val="12"/>
        <color theme="1"/>
        <rFont val="Arial"/>
        <family val="2"/>
      </rPr>
      <t>S</t>
    </r>
    <r>
      <rPr>
        <sz val="12"/>
        <color theme="1"/>
        <rFont val="Arial"/>
        <family val="2"/>
      </rPr>
      <t>22</t>
    </r>
    <phoneticPr fontId="1" type="noConversion"/>
  </si>
  <si>
    <r>
      <rPr>
        <i/>
        <sz val="12"/>
        <color theme="1"/>
        <rFont val="Arial"/>
        <family val="2"/>
      </rPr>
      <t>S</t>
    </r>
    <r>
      <rPr>
        <sz val="12"/>
        <color theme="1"/>
        <rFont val="Arial"/>
        <family val="2"/>
      </rPr>
      <t>33</t>
    </r>
    <phoneticPr fontId="1" type="noConversion"/>
  </si>
  <si>
    <r>
      <rPr>
        <i/>
        <sz val="12"/>
        <color theme="1"/>
        <rFont val="Arial"/>
        <family val="2"/>
      </rPr>
      <t>S</t>
    </r>
    <r>
      <rPr>
        <sz val="12"/>
        <color theme="1"/>
        <rFont val="Arial"/>
        <family val="2"/>
      </rPr>
      <t>12</t>
    </r>
    <phoneticPr fontId="1" type="noConversion"/>
  </si>
  <si>
    <r>
      <rPr>
        <i/>
        <sz val="12"/>
        <color theme="1"/>
        <rFont val="Arial"/>
        <family val="2"/>
      </rPr>
      <t>S</t>
    </r>
    <r>
      <rPr>
        <sz val="12"/>
        <color theme="1"/>
        <rFont val="Arial"/>
        <family val="2"/>
      </rPr>
      <t>23</t>
    </r>
    <phoneticPr fontId="1" type="noConversion"/>
  </si>
  <si>
    <r>
      <rPr>
        <i/>
        <sz val="12"/>
        <color theme="1"/>
        <rFont val="Arial"/>
        <family val="2"/>
      </rPr>
      <t>S</t>
    </r>
    <r>
      <rPr>
        <sz val="12"/>
        <color theme="1"/>
        <rFont val="Arial"/>
        <family val="2"/>
      </rPr>
      <t>23</t>
    </r>
    <phoneticPr fontId="1" type="noConversion"/>
  </si>
  <si>
    <r>
      <rPr>
        <i/>
        <sz val="12"/>
        <color theme="1"/>
        <rFont val="Arial"/>
        <family val="2"/>
      </rPr>
      <t>S</t>
    </r>
    <r>
      <rPr>
        <sz val="12"/>
        <color theme="1"/>
        <rFont val="Arial"/>
        <family val="2"/>
      </rPr>
      <t>13</t>
    </r>
    <phoneticPr fontId="1" type="noConversion"/>
  </si>
  <si>
    <r>
      <rPr>
        <i/>
        <sz val="12"/>
        <color theme="1"/>
        <rFont val="Arial"/>
        <family val="2"/>
      </rPr>
      <t>S</t>
    </r>
    <r>
      <rPr>
        <sz val="12"/>
        <color theme="1"/>
        <rFont val="Arial"/>
        <family val="2"/>
      </rPr>
      <t>13</t>
    </r>
    <phoneticPr fontId="1" type="noConversion"/>
  </si>
  <si>
    <t>Energy (keV)</t>
    <phoneticPr fontId="1" type="noConversion"/>
  </si>
  <si>
    <t>Film</t>
    <phoneticPr fontId="1" type="noConversion"/>
  </si>
  <si>
    <t>STO</t>
    <phoneticPr fontId="1" type="noConversion"/>
  </si>
  <si>
    <t>LAO</t>
    <phoneticPr fontId="1" type="noConversion"/>
  </si>
  <si>
    <t>Note</t>
    <phoneticPr fontId="1" type="noConversion"/>
  </si>
  <si>
    <t>absorption coefficient</t>
    <phoneticPr fontId="1" type="noConversion"/>
  </si>
  <si>
    <t>This form was writed by a beamline scientist in Singapore. I forget his name. He taught me to show confidence by speaking louder</t>
    <phoneticPr fontId="1" type="noConversion"/>
  </si>
  <si>
    <t>The lattice direction of substrate</t>
    <phoneticPr fontId="1" type="noConversion"/>
  </si>
  <si>
    <t>The lattice direction of film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</si>
</sst>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"/>
    <numFmt numFmtId="177" formatCode="0.000E+00"/>
    <numFmt numFmtId="179" formatCode="0.0000"/>
    <numFmt numFmtId="204" formatCode="0.000%"/>
  </numFmts>
  <fonts count="35" x14ac:knownFonts="1">
    <font>
      <sz val="11"/>
      <color theme="1"/>
      <name val="Consolas"/>
      <family val="2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4" tint="-0.249977111117893"/>
      <name val="Arial"/>
      <family val="2"/>
    </font>
    <font>
      <sz val="11"/>
      <color theme="1"/>
      <name val="Arial"/>
      <family val="2"/>
    </font>
    <font>
      <b/>
      <sz val="10"/>
      <color theme="1"/>
      <name val="微软雅黑"/>
      <family val="2"/>
      <charset val="134"/>
    </font>
    <font>
      <sz val="11"/>
      <color theme="1"/>
      <name val="Consolas"/>
      <family val="2"/>
      <charset val="134"/>
    </font>
    <font>
      <b/>
      <sz val="10"/>
      <color rgb="FF00B050"/>
      <name val="Arial"/>
      <family val="2"/>
    </font>
    <font>
      <b/>
      <sz val="11"/>
      <color theme="1"/>
      <name val="Arial"/>
      <family val="2"/>
    </font>
    <font>
      <sz val="9"/>
      <name val="Consolas"/>
      <family val="2"/>
      <charset val="134"/>
    </font>
    <font>
      <b/>
      <sz val="12"/>
      <color theme="9" tint="-0.249977111117893"/>
      <name val="Arial"/>
      <family val="2"/>
    </font>
    <font>
      <b/>
      <sz val="20"/>
      <color indexed="12"/>
      <name val="Arial"/>
      <family val="2"/>
    </font>
    <font>
      <b/>
      <i/>
      <u/>
      <sz val="12"/>
      <name val="Arial"/>
      <family val="2"/>
    </font>
    <font>
      <b/>
      <i/>
      <u/>
      <sz val="11"/>
      <color indexed="17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4"/>
      <name val="Arial"/>
      <family val="2"/>
    </font>
    <font>
      <sz val="10"/>
      <color theme="2" tint="-0.249977111117893"/>
      <name val="Arial"/>
      <family val="2"/>
    </font>
    <font>
      <sz val="12"/>
      <color theme="1"/>
      <name val="Consolas"/>
      <family val="2"/>
      <charset val="134"/>
    </font>
    <font>
      <b/>
      <sz val="12"/>
      <color theme="1"/>
      <name val="Arial"/>
      <family val="2"/>
    </font>
    <font>
      <b/>
      <i/>
      <sz val="12"/>
      <name val="Symbol"/>
      <family val="1"/>
      <charset val="2"/>
    </font>
    <font>
      <b/>
      <sz val="12"/>
      <color rgb="FF00B050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2" tint="-0.249977111117893"/>
      <name val="Arial"/>
      <family val="2"/>
    </font>
    <font>
      <i/>
      <sz val="12"/>
      <color theme="1"/>
      <name val="Arial"/>
      <family val="2"/>
    </font>
    <font>
      <b/>
      <sz val="12"/>
      <color indexed="10"/>
      <name val="Arial"/>
      <family val="2"/>
    </font>
    <font>
      <b/>
      <sz val="14"/>
      <color theme="9" tint="-0.249977111117893"/>
      <name val="Arial"/>
      <family val="2"/>
    </font>
    <font>
      <b/>
      <sz val="11"/>
      <color rgb="FF00B050"/>
      <name val="Arial"/>
      <family val="2"/>
    </font>
    <font>
      <b/>
      <sz val="10"/>
      <color theme="2" tint="-0.249977111117893"/>
      <name val="Arial"/>
      <family val="2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158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76" fontId="3" fillId="0" borderId="4" xfId="0" applyNumberFormat="1" applyFont="1" applyBorder="1" applyAlignment="1">
      <alignment horizontal="center"/>
    </xf>
    <xf numFmtId="176" fontId="3" fillId="0" borderId="5" xfId="0" applyNumberFormat="1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176" fontId="3" fillId="0" borderId="0" xfId="0" applyNumberFormat="1" applyFont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179" fontId="3" fillId="0" borderId="0" xfId="0" applyNumberFormat="1" applyFont="1" applyBorder="1" applyAlignment="1">
      <alignment horizontal="center"/>
    </xf>
    <xf numFmtId="11" fontId="3" fillId="0" borderId="0" xfId="1" applyNumberFormat="1" applyFont="1" applyBorder="1" applyAlignment="1">
      <alignment horizontal="center"/>
    </xf>
    <xf numFmtId="0" fontId="3" fillId="0" borderId="0" xfId="1" applyNumberFormat="1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77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176" fontId="3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76" fontId="3" fillId="0" borderId="0" xfId="1" applyNumberFormat="1" applyFont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3" fillId="0" borderId="13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>
      <alignment vertical="center"/>
    </xf>
    <xf numFmtId="0" fontId="0" fillId="0" borderId="17" xfId="0" applyBorder="1">
      <alignment vertical="center"/>
    </xf>
    <xf numFmtId="0" fontId="4" fillId="0" borderId="13" xfId="0" applyFont="1" applyFill="1" applyBorder="1" applyAlignment="1">
      <alignment horizontal="center"/>
    </xf>
    <xf numFmtId="10" fontId="3" fillId="0" borderId="13" xfId="0" applyNumberFormat="1" applyFont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176" fontId="0" fillId="0" borderId="18" xfId="0" applyNumberFormat="1" applyBorder="1" applyAlignment="1">
      <alignment horizontal="center" vertical="center"/>
    </xf>
    <xf numFmtId="0" fontId="4" fillId="2" borderId="13" xfId="0" applyFont="1" applyFill="1" applyBorder="1" applyAlignment="1">
      <alignment horizontal="center"/>
    </xf>
    <xf numFmtId="177" fontId="3" fillId="0" borderId="13" xfId="0" applyNumberFormat="1" applyFont="1" applyBorder="1" applyAlignment="1">
      <alignment horizontal="center"/>
    </xf>
    <xf numFmtId="177" fontId="3" fillId="0" borderId="15" xfId="0" applyNumberFormat="1" applyFont="1" applyBorder="1" applyAlignment="1">
      <alignment horizont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4" fillId="5" borderId="10" xfId="0" applyFont="1" applyFill="1" applyBorder="1" applyAlignment="1">
      <alignment horizontal="center" vertical="center"/>
    </xf>
    <xf numFmtId="177" fontId="3" fillId="0" borderId="13" xfId="0" applyNumberFormat="1" applyFont="1" applyBorder="1" applyAlignment="1">
      <alignment horizontal="center" vertical="center"/>
    </xf>
    <xf numFmtId="177" fontId="3" fillId="0" borderId="0" xfId="1" applyNumberFormat="1" applyFont="1" applyBorder="1" applyAlignment="1">
      <alignment horizontal="center"/>
    </xf>
    <xf numFmtId="177" fontId="8" fillId="0" borderId="0" xfId="0" applyNumberFormat="1" applyFont="1" applyAlignment="1">
      <alignment horizontal="center" vertical="center"/>
    </xf>
    <xf numFmtId="0" fontId="0" fillId="0" borderId="11" xfId="0" applyBorder="1">
      <alignment vertical="center"/>
    </xf>
    <xf numFmtId="176" fontId="3" fillId="0" borderId="13" xfId="1" applyNumberFormat="1" applyFon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11" fontId="3" fillId="0" borderId="15" xfId="0" applyNumberFormat="1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177" fontId="3" fillId="0" borderId="15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176" fontId="3" fillId="0" borderId="16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204" fontId="3" fillId="0" borderId="0" xfId="1" applyNumberFormat="1" applyFont="1" applyBorder="1" applyAlignment="1">
      <alignment horizontal="center" vertical="center"/>
    </xf>
    <xf numFmtId="204" fontId="3" fillId="0" borderId="13" xfId="1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176" fontId="3" fillId="0" borderId="15" xfId="1" applyNumberFormat="1" applyFont="1" applyBorder="1" applyAlignment="1">
      <alignment horizontal="center"/>
    </xf>
    <xf numFmtId="1" fontId="3" fillId="0" borderId="15" xfId="1" applyNumberFormat="1" applyFont="1" applyBorder="1" applyAlignment="1">
      <alignment horizontal="center"/>
    </xf>
    <xf numFmtId="0" fontId="0" fillId="0" borderId="0" xfId="0" applyAlignment="1"/>
    <xf numFmtId="0" fontId="20" fillId="0" borderId="0" xfId="0" applyFont="1" applyAlignment="1">
      <alignment horizontal="right"/>
    </xf>
    <xf numFmtId="0" fontId="18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5" fillId="0" borderId="0" xfId="0" applyFont="1" applyFill="1" applyBorder="1" applyAlignment="1">
      <alignment horizontal="right"/>
    </xf>
    <xf numFmtId="0" fontId="22" fillId="0" borderId="9" xfId="0" applyFont="1" applyBorder="1" applyAlignment="1"/>
    <xf numFmtId="0" fontId="23" fillId="3" borderId="10" xfId="0" applyFont="1" applyFill="1" applyBorder="1" applyAlignment="1">
      <alignment horizontal="center"/>
    </xf>
    <xf numFmtId="0" fontId="23" fillId="3" borderId="11" xfId="0" applyFont="1" applyFill="1" applyBorder="1" applyAlignment="1">
      <alignment horizontal="center"/>
    </xf>
    <xf numFmtId="0" fontId="22" fillId="0" borderId="12" xfId="0" applyFont="1" applyBorder="1" applyAlignment="1"/>
    <xf numFmtId="0" fontId="22" fillId="0" borderId="0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23" fillId="3" borderId="12" xfId="0" applyFont="1" applyFill="1" applyBorder="1" applyAlignment="1">
      <alignment horizontal="center"/>
    </xf>
    <xf numFmtId="176" fontId="26" fillId="0" borderId="0" xfId="0" applyNumberFormat="1" applyFont="1" applyBorder="1" applyAlignment="1">
      <alignment horizontal="center"/>
    </xf>
    <xf numFmtId="0" fontId="22" fillId="0" borderId="13" xfId="0" applyFont="1" applyBorder="1" applyAlignment="1"/>
    <xf numFmtId="0" fontId="22" fillId="0" borderId="0" xfId="0" applyFont="1" applyBorder="1" applyAlignment="1"/>
    <xf numFmtId="0" fontId="23" fillId="5" borderId="12" xfId="0" applyFont="1" applyFill="1" applyBorder="1" applyAlignment="1">
      <alignment horizontal="center" vertical="center"/>
    </xf>
    <xf numFmtId="0" fontId="23" fillId="5" borderId="21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/>
    </xf>
    <xf numFmtId="177" fontId="28" fillId="0" borderId="3" xfId="0" applyNumberFormat="1" applyFont="1" applyBorder="1" applyAlignment="1">
      <alignment horizontal="center"/>
    </xf>
    <xf numFmtId="176" fontId="30" fillId="0" borderId="22" xfId="0" applyNumberFormat="1" applyFont="1" applyBorder="1" applyAlignment="1">
      <alignment horizontal="center"/>
    </xf>
    <xf numFmtId="11" fontId="28" fillId="0" borderId="3" xfId="0" applyNumberFormat="1" applyFont="1" applyBorder="1" applyAlignment="1">
      <alignment horizontal="center"/>
    </xf>
    <xf numFmtId="0" fontId="26" fillId="3" borderId="7" xfId="0" applyFont="1" applyFill="1" applyBorder="1" applyAlignment="1">
      <alignment horizontal="center"/>
    </xf>
    <xf numFmtId="177" fontId="28" fillId="0" borderId="8" xfId="0" applyNumberFormat="1" applyFont="1" applyBorder="1" applyAlignment="1">
      <alignment horizontal="center"/>
    </xf>
    <xf numFmtId="0" fontId="23" fillId="5" borderId="22" xfId="0" applyFont="1" applyFill="1" applyBorder="1" applyAlignment="1">
      <alignment horizontal="center" vertical="center"/>
    </xf>
    <xf numFmtId="11" fontId="28" fillId="0" borderId="8" xfId="0" applyNumberFormat="1" applyFont="1" applyBorder="1" applyAlignment="1">
      <alignment horizontal="center"/>
    </xf>
    <xf numFmtId="176" fontId="30" fillId="0" borderId="23" xfId="0" applyNumberFormat="1" applyFont="1" applyBorder="1" applyAlignment="1">
      <alignment horizontal="center"/>
    </xf>
    <xf numFmtId="0" fontId="22" fillId="0" borderId="14" xfId="0" applyFont="1" applyBorder="1" applyAlignment="1"/>
    <xf numFmtId="0" fontId="22" fillId="0" borderId="15" xfId="0" applyFont="1" applyBorder="1" applyAlignment="1"/>
    <xf numFmtId="0" fontId="26" fillId="3" borderId="20" xfId="0" applyFont="1" applyFill="1" applyBorder="1" applyAlignment="1">
      <alignment horizontal="center"/>
    </xf>
    <xf numFmtId="177" fontId="28" fillId="0" borderId="24" xfId="0" applyNumberFormat="1" applyFont="1" applyBorder="1" applyAlignment="1">
      <alignment horizontal="center"/>
    </xf>
    <xf numFmtId="0" fontId="22" fillId="0" borderId="16" xfId="0" applyFont="1" applyBorder="1" applyAlignment="1">
      <alignment horizontal="right"/>
    </xf>
    <xf numFmtId="11" fontId="28" fillId="0" borderId="24" xfId="0" applyNumberFormat="1" applyFont="1" applyBorder="1" applyAlignment="1">
      <alignment horizontal="center"/>
    </xf>
    <xf numFmtId="0" fontId="22" fillId="0" borderId="16" xfId="0" applyFont="1" applyBorder="1" applyAlignment="1"/>
    <xf numFmtId="176" fontId="26" fillId="0" borderId="13" xfId="0" applyNumberFormat="1" applyFont="1" applyBorder="1" applyAlignment="1">
      <alignment horizontal="center"/>
    </xf>
    <xf numFmtId="176" fontId="28" fillId="0" borderId="12" xfId="0" applyNumberFormat="1" applyFont="1" applyBorder="1" applyAlignment="1">
      <alignment horizontal="center"/>
    </xf>
    <xf numFmtId="0" fontId="23" fillId="3" borderId="9" xfId="0" applyFont="1" applyFill="1" applyBorder="1" applyAlignment="1">
      <alignment horizontal="center"/>
    </xf>
    <xf numFmtId="176" fontId="26" fillId="0" borderId="12" xfId="0" applyNumberFormat="1" applyFont="1" applyBorder="1" applyAlignment="1">
      <alignment horizontal="center"/>
    </xf>
    <xf numFmtId="176" fontId="26" fillId="0" borderId="14" xfId="0" applyNumberFormat="1" applyFont="1" applyBorder="1" applyAlignment="1">
      <alignment horizontal="center"/>
    </xf>
    <xf numFmtId="176" fontId="26" fillId="0" borderId="15" xfId="0" applyNumberFormat="1" applyFont="1" applyBorder="1" applyAlignment="1">
      <alignment horizontal="center"/>
    </xf>
    <xf numFmtId="176" fontId="26" fillId="0" borderId="16" xfId="0" applyNumberFormat="1" applyFont="1" applyBorder="1" applyAlignment="1">
      <alignment horizontal="center"/>
    </xf>
    <xf numFmtId="176" fontId="28" fillId="0" borderId="13" xfId="0" applyNumberFormat="1" applyFont="1" applyBorder="1" applyAlignment="1">
      <alignment horizontal="center"/>
    </xf>
    <xf numFmtId="176" fontId="19" fillId="0" borderId="13" xfId="0" applyNumberFormat="1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3" fillId="3" borderId="14" xfId="0" applyFont="1" applyFill="1" applyBorder="1" applyAlignment="1">
      <alignment horizontal="center"/>
    </xf>
    <xf numFmtId="176" fontId="19" fillId="0" borderId="16" xfId="0" applyNumberFormat="1" applyFont="1" applyBorder="1" applyAlignment="1">
      <alignment horizontal="center"/>
    </xf>
    <xf numFmtId="0" fontId="23" fillId="5" borderId="25" xfId="0" applyFont="1" applyFill="1" applyBorder="1" applyAlignment="1">
      <alignment horizontal="center" vertical="center"/>
    </xf>
    <xf numFmtId="176" fontId="26" fillId="0" borderId="10" xfId="0" applyNumberFormat="1" applyFont="1" applyBorder="1" applyAlignment="1">
      <alignment horizontal="center"/>
    </xf>
    <xf numFmtId="0" fontId="25" fillId="0" borderId="9" xfId="0" applyFont="1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25" fillId="0" borderId="11" xfId="0" applyFont="1" applyBorder="1" applyAlignment="1">
      <alignment horizontal="center"/>
    </xf>
    <xf numFmtId="0" fontId="23" fillId="3" borderId="13" xfId="0" applyFont="1" applyFill="1" applyBorder="1" applyAlignment="1">
      <alignment horizontal="center"/>
    </xf>
    <xf numFmtId="0" fontId="26" fillId="0" borderId="14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26" fillId="0" borderId="16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12" fillId="0" borderId="0" xfId="0" applyFont="1" applyAlignment="1"/>
    <xf numFmtId="0" fontId="33" fillId="7" borderId="1" xfId="0" applyFont="1" applyFill="1" applyBorder="1" applyAlignment="1">
      <alignment horizontal="center"/>
    </xf>
    <xf numFmtId="0" fontId="33" fillId="7" borderId="2" xfId="0" applyFont="1" applyFill="1" applyBorder="1" applyAlignment="1">
      <alignment horizontal="center"/>
    </xf>
    <xf numFmtId="0" fontId="33" fillId="7" borderId="3" xfId="0" applyFont="1" applyFill="1" applyBorder="1" applyAlignment="1">
      <alignment horizontal="center"/>
    </xf>
    <xf numFmtId="176" fontId="21" fillId="7" borderId="4" xfId="0" applyNumberFormat="1" applyFont="1" applyFill="1" applyBorder="1" applyAlignment="1">
      <alignment horizontal="center"/>
    </xf>
    <xf numFmtId="176" fontId="21" fillId="7" borderId="5" xfId="0" applyNumberFormat="1" applyFont="1" applyFill="1" applyBorder="1" applyAlignment="1">
      <alignment horizontal="center"/>
    </xf>
    <xf numFmtId="176" fontId="21" fillId="7" borderId="6" xfId="0" applyNumberFormat="1" applyFont="1" applyFill="1" applyBorder="1" applyAlignment="1">
      <alignment horizontal="center"/>
    </xf>
    <xf numFmtId="176" fontId="34" fillId="0" borderId="26" xfId="0" applyNumberFormat="1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0"/>
  <sheetViews>
    <sheetView zoomScaleNormal="100" workbookViewId="0">
      <selection activeCell="F39" sqref="F39"/>
    </sheetView>
  </sheetViews>
  <sheetFormatPr defaultColWidth="27" defaultRowHeight="14.4" x14ac:dyDescent="0.3"/>
  <cols>
    <col min="1" max="1" width="7.09765625" customWidth="1"/>
  </cols>
  <sheetData>
    <row r="2" spans="2:9" ht="15.6" x14ac:dyDescent="0.3">
      <c r="B2" s="32" t="s">
        <v>36</v>
      </c>
      <c r="C2" s="18" t="s">
        <v>78</v>
      </c>
      <c r="D2" s="1"/>
      <c r="E2" s="1"/>
      <c r="F2" s="1"/>
      <c r="G2" s="1"/>
      <c r="H2" s="1"/>
      <c r="I2" s="1"/>
    </row>
    <row r="3" spans="2:9" ht="15" thickBot="1" x14ac:dyDescent="0.3">
      <c r="B3" s="2"/>
      <c r="C3" s="34"/>
      <c r="D3" s="34"/>
      <c r="E3" s="34"/>
      <c r="F3" s="34"/>
      <c r="G3" s="34"/>
      <c r="H3" s="34"/>
      <c r="I3" s="34"/>
    </row>
    <row r="4" spans="2:9" x14ac:dyDescent="0.25">
      <c r="B4" s="75" t="s">
        <v>0</v>
      </c>
      <c r="C4" s="45" t="s">
        <v>20</v>
      </c>
      <c r="D4" s="45" t="s">
        <v>21</v>
      </c>
      <c r="E4" s="45" t="s">
        <v>22</v>
      </c>
      <c r="F4" s="45" t="s">
        <v>37</v>
      </c>
      <c r="G4" s="45" t="s">
        <v>39</v>
      </c>
      <c r="H4" s="45" t="s">
        <v>25</v>
      </c>
      <c r="I4" s="46" t="s">
        <v>26</v>
      </c>
    </row>
    <row r="5" spans="2:9" x14ac:dyDescent="0.25">
      <c r="B5" s="76"/>
      <c r="C5" s="29">
        <v>0.2</v>
      </c>
      <c r="D5" s="29">
        <v>6</v>
      </c>
      <c r="E5" s="6">
        <v>1.1000000000000001E-3</v>
      </c>
      <c r="F5" s="5">
        <v>8.8000000000000007</v>
      </c>
      <c r="G5" s="5">
        <v>2.2999999999999998</v>
      </c>
      <c r="H5" s="5">
        <v>3.1</v>
      </c>
      <c r="I5" s="47">
        <v>1.2</v>
      </c>
    </row>
    <row r="6" spans="2:9" x14ac:dyDescent="0.25">
      <c r="B6" s="76"/>
      <c r="C6" s="29"/>
      <c r="D6" s="29"/>
      <c r="E6" s="29"/>
      <c r="F6" s="29"/>
      <c r="G6" s="29"/>
      <c r="H6" s="29"/>
      <c r="I6" s="48"/>
    </row>
    <row r="7" spans="2:9" ht="15.6" x14ac:dyDescent="0.4">
      <c r="B7" s="77" t="s">
        <v>1</v>
      </c>
      <c r="C7" s="8" t="s">
        <v>3</v>
      </c>
      <c r="D7" s="8" t="s">
        <v>15</v>
      </c>
      <c r="E7" s="8" t="s">
        <v>16</v>
      </c>
      <c r="F7" s="28" t="s">
        <v>114</v>
      </c>
      <c r="G7" s="28" t="s">
        <v>32</v>
      </c>
      <c r="H7" s="8" t="s">
        <v>18</v>
      </c>
      <c r="I7" s="49"/>
    </row>
    <row r="8" spans="2:9" x14ac:dyDescent="0.25">
      <c r="B8" s="76"/>
      <c r="C8" s="29">
        <v>0.47299999999999998</v>
      </c>
      <c r="D8" s="29">
        <v>1.99</v>
      </c>
      <c r="E8" s="5">
        <v>201</v>
      </c>
      <c r="F8" s="7">
        <f>F5/H5</f>
        <v>2.838709677419355</v>
      </c>
      <c r="G8" s="7">
        <f>G5/I5</f>
        <v>1.9166666666666665</v>
      </c>
      <c r="H8" s="5">
        <v>1</v>
      </c>
      <c r="I8" s="49"/>
    </row>
    <row r="9" spans="2:9" x14ac:dyDescent="0.25">
      <c r="B9" s="76"/>
      <c r="C9" s="29"/>
      <c r="D9" s="29"/>
      <c r="E9" s="29"/>
      <c r="F9" s="29"/>
      <c r="G9" s="3"/>
      <c r="H9" s="29"/>
      <c r="I9" s="48"/>
    </row>
    <row r="10" spans="2:9" ht="15.6" x14ac:dyDescent="0.4">
      <c r="B10" s="78"/>
      <c r="C10" s="28" t="s">
        <v>19</v>
      </c>
      <c r="D10" s="28" t="s">
        <v>17</v>
      </c>
      <c r="E10" s="14"/>
      <c r="F10" s="151" t="s">
        <v>4</v>
      </c>
      <c r="G10" s="152" t="s">
        <v>9</v>
      </c>
      <c r="H10" s="153" t="s">
        <v>10</v>
      </c>
      <c r="I10" s="49"/>
    </row>
    <row r="11" spans="2:9" x14ac:dyDescent="0.25">
      <c r="B11" s="78"/>
      <c r="C11" s="7">
        <f>0.934*C8*D8</f>
        <v>0.87914618</v>
      </c>
      <c r="D11" s="5">
        <f>D8*E8</f>
        <v>399.99</v>
      </c>
      <c r="E11" s="14"/>
      <c r="F11" s="154">
        <f>H8*C11^2/(4*(1+C11^2/2))</f>
        <v>0.13936646861686697</v>
      </c>
      <c r="G11" s="155">
        <f>(H8^2*C11^2/(1+C11^2/2)^2)*(BESSELJ(F11,(H8-1)/2)-BESSELJ(F11,(H8+1)/2))^2</f>
        <v>0.34450443406255604</v>
      </c>
      <c r="H11" s="156">
        <f>G11*(1+C11^2/2)/H8</f>
        <v>0.4776378291021397</v>
      </c>
      <c r="I11" s="49"/>
    </row>
    <row r="12" spans="2:9" x14ac:dyDescent="0.3">
      <c r="B12" s="78"/>
      <c r="C12" s="16"/>
      <c r="D12" s="16"/>
      <c r="E12" s="16"/>
      <c r="F12" s="16"/>
      <c r="G12" s="16"/>
      <c r="H12" s="16"/>
      <c r="I12" s="40"/>
    </row>
    <row r="13" spans="2:9" ht="15.6" x14ac:dyDescent="0.4">
      <c r="B13" s="77" t="s">
        <v>2</v>
      </c>
      <c r="C13" s="10" t="s">
        <v>8</v>
      </c>
      <c r="D13" s="10" t="s">
        <v>27</v>
      </c>
      <c r="E13" s="13" t="s">
        <v>24</v>
      </c>
      <c r="F13" s="9" t="s">
        <v>11</v>
      </c>
      <c r="G13" s="10" t="s">
        <v>28</v>
      </c>
      <c r="H13" s="13" t="s">
        <v>33</v>
      </c>
      <c r="I13" s="50"/>
    </row>
    <row r="14" spans="2:9" x14ac:dyDescent="0.25">
      <c r="B14" s="76"/>
      <c r="C14" s="12">
        <f>SQRT(2*C27*D11)/(4*3.141592653)</f>
        <v>2.2514484581263332</v>
      </c>
      <c r="D14" s="12">
        <f>SQRT(C27*0.0000000001/(2*D11*0.01))*1000000</f>
        <v>3.5366553837135259</v>
      </c>
      <c r="E14" s="30" t="s">
        <v>13</v>
      </c>
      <c r="F14" s="11">
        <f>SQRT(2*C27*D11)/(2*3.141592653)</f>
        <v>4.5028969162526664</v>
      </c>
      <c r="G14" s="12">
        <f>SQRT(C27*0.0000000001/(2*D11*0.01))*1000000</f>
        <v>3.5366553837135259</v>
      </c>
      <c r="H14" s="30" t="s">
        <v>14</v>
      </c>
      <c r="I14" s="50"/>
    </row>
    <row r="15" spans="2:9" x14ac:dyDescent="0.25">
      <c r="B15" s="76"/>
      <c r="C15" s="29"/>
      <c r="D15" s="29"/>
      <c r="E15" s="29"/>
      <c r="F15" s="29"/>
      <c r="G15" s="29"/>
      <c r="H15" s="29"/>
      <c r="I15" s="48"/>
    </row>
    <row r="16" spans="2:9" x14ac:dyDescent="0.25">
      <c r="B16" s="77" t="s">
        <v>35</v>
      </c>
      <c r="C16" s="28" t="s">
        <v>40</v>
      </c>
      <c r="D16" s="28" t="s">
        <v>12</v>
      </c>
      <c r="E16" s="28" t="s">
        <v>31</v>
      </c>
      <c r="F16" s="28" t="s">
        <v>30</v>
      </c>
      <c r="G16" s="28" t="s">
        <v>29</v>
      </c>
      <c r="H16" s="28" t="s">
        <v>6</v>
      </c>
      <c r="I16" s="51"/>
    </row>
    <row r="17" spans="2:10" x14ac:dyDescent="0.25">
      <c r="B17" s="76"/>
      <c r="C17" s="7">
        <f>SQRT(F5*F5+F14*F14)</f>
        <v>9.8851444419592465</v>
      </c>
      <c r="D17" s="7">
        <f>SQRT(G5*G5+F14*F14)</f>
        <v>5.0562911939877209</v>
      </c>
      <c r="E17" s="7">
        <f>SQRT(H5*H5+G14*G14)</f>
        <v>4.7029704765339391</v>
      </c>
      <c r="F17" s="7">
        <f>SQRT(I5*I5+G14*G14)</f>
        <v>3.734692932912941</v>
      </c>
      <c r="G17" s="7">
        <f>C17*E17</f>
        <v>46.489542466807897</v>
      </c>
      <c r="H17" s="7">
        <f>D17*F17</f>
        <v>18.883694988935879</v>
      </c>
      <c r="I17" s="52"/>
    </row>
    <row r="18" spans="2:10" x14ac:dyDescent="0.3">
      <c r="B18" s="78"/>
      <c r="C18" s="16"/>
      <c r="D18" s="16"/>
      <c r="E18" s="16"/>
      <c r="F18" s="16"/>
      <c r="G18" s="16"/>
      <c r="H18" s="16"/>
      <c r="I18" s="40"/>
    </row>
    <row r="19" spans="2:10" x14ac:dyDescent="0.25">
      <c r="B19" s="77" t="s">
        <v>68</v>
      </c>
      <c r="C19" s="28" t="s">
        <v>69</v>
      </c>
      <c r="D19" s="28" t="s">
        <v>70</v>
      </c>
      <c r="E19" s="28" t="s">
        <v>71</v>
      </c>
      <c r="F19" s="28" t="s">
        <v>72</v>
      </c>
      <c r="G19" s="28" t="s">
        <v>73</v>
      </c>
      <c r="H19" s="28" t="s">
        <v>74</v>
      </c>
      <c r="I19" s="49"/>
      <c r="J19" s="14"/>
    </row>
    <row r="20" spans="2:10" x14ac:dyDescent="0.25">
      <c r="B20" s="79"/>
      <c r="C20" s="7">
        <f>SQRT(F5*F5+C14*C14)</f>
        <v>9.0834475921645215</v>
      </c>
      <c r="D20" s="7">
        <f>SQRT(G5*G5+C14*C14)</f>
        <v>3.2185431734869492</v>
      </c>
      <c r="E20" s="7">
        <f>SQRT(H5*H5+D14*D14)</f>
        <v>4.7029704765339391</v>
      </c>
      <c r="F20" s="7">
        <f>SQRT(I5*I5+D14*D14)</f>
        <v>3.734692932912941</v>
      </c>
      <c r="G20" s="7">
        <f>C20*E20</f>
        <v>42.719185851093044</v>
      </c>
      <c r="H20" s="7">
        <f>D20*F20</f>
        <v>12.0202704442969</v>
      </c>
      <c r="I20" s="49"/>
      <c r="J20" s="14"/>
    </row>
    <row r="21" spans="2:10" x14ac:dyDescent="0.3">
      <c r="B21" s="79"/>
      <c r="C21" s="14"/>
      <c r="D21" s="14"/>
      <c r="E21" s="14"/>
      <c r="F21" s="14"/>
      <c r="G21" s="14"/>
      <c r="H21" s="14"/>
      <c r="I21" s="49"/>
    </row>
    <row r="22" spans="2:10" x14ac:dyDescent="0.3">
      <c r="B22" s="79"/>
      <c r="C22" s="14"/>
      <c r="D22" s="14"/>
      <c r="E22" s="14"/>
      <c r="F22" s="14"/>
      <c r="G22" s="14"/>
      <c r="H22" s="14"/>
      <c r="I22" s="49"/>
    </row>
    <row r="23" spans="2:10" x14ac:dyDescent="0.25">
      <c r="B23" s="77" t="s">
        <v>34</v>
      </c>
      <c r="C23" s="28" t="s">
        <v>118</v>
      </c>
      <c r="D23" s="28" t="s">
        <v>119</v>
      </c>
      <c r="E23" s="22" t="s">
        <v>41</v>
      </c>
      <c r="F23" s="10" t="s">
        <v>62</v>
      </c>
      <c r="G23" s="10" t="s">
        <v>61</v>
      </c>
      <c r="H23" s="10" t="s">
        <v>63</v>
      </c>
      <c r="I23" s="53" t="s">
        <v>64</v>
      </c>
    </row>
    <row r="24" spans="2:10" x14ac:dyDescent="0.25">
      <c r="B24" s="76"/>
      <c r="C24" s="17">
        <f>(F14*G14)^2/(G17*H17)</f>
        <v>0.28888650049618442</v>
      </c>
      <c r="D24" s="17">
        <f>(C14*D14)^2/(G20*H20)</f>
        <v>0.12347308508614345</v>
      </c>
      <c r="E24" s="11">
        <v>40</v>
      </c>
      <c r="F24" s="12">
        <f>1000000*0.44*C27*0.0000000001*E24/(C17*2.35*0.000001)</f>
        <v>75.809983608531795</v>
      </c>
      <c r="G24" s="12">
        <f>1000000*0.44*C27*0.0000000001*E24/(D17*2.35*0.000001)</f>
        <v>148.20994467327739</v>
      </c>
      <c r="H24" s="31">
        <f>SQRT(B17^2 + (E17*E24)^2)</f>
        <v>188.11881906135756</v>
      </c>
      <c r="I24" s="54">
        <f>SQRT(D17^2+(E24*F17)^2)</f>
        <v>149.47326237718298</v>
      </c>
    </row>
    <row r="25" spans="2:10" x14ac:dyDescent="0.3">
      <c r="B25" s="79"/>
      <c r="C25" s="14"/>
      <c r="D25" s="14"/>
      <c r="E25" s="14"/>
      <c r="F25" s="14"/>
      <c r="G25" s="16"/>
      <c r="H25" s="16"/>
      <c r="I25" s="40"/>
    </row>
    <row r="26" spans="2:10" ht="15.6" x14ac:dyDescent="0.4">
      <c r="B26" s="77" t="s">
        <v>5</v>
      </c>
      <c r="C26" s="28" t="s">
        <v>23</v>
      </c>
      <c r="D26" s="28" t="s">
        <v>7</v>
      </c>
      <c r="E26" s="33" t="s">
        <v>115</v>
      </c>
      <c r="F26" s="33"/>
      <c r="G26" s="33" t="s">
        <v>117</v>
      </c>
      <c r="H26" s="33"/>
      <c r="I26" s="55"/>
    </row>
    <row r="27" spans="2:10" x14ac:dyDescent="0.25">
      <c r="B27" s="78"/>
      <c r="C27" s="7">
        <f>13.056*(1+C11*C11/2)*(D8/(D5*D5))/H8</f>
        <v>1.0006094883893832</v>
      </c>
      <c r="D27" s="7">
        <f>0.95*D5*D5/(D8*(1+C11*C11/2))/H8</f>
        <v>12.395644998294621</v>
      </c>
      <c r="E27" s="35">
        <f>143100000000000*E8*C5*H11</f>
        <v>2747668928449551</v>
      </c>
      <c r="F27" s="35"/>
      <c r="G27" s="35">
        <f>E27/(4*3.141592653^2*G17*H17)*1000000000000</f>
        <v>7.9279776469105622E+22</v>
      </c>
      <c r="H27" s="35"/>
      <c r="I27" s="56"/>
    </row>
    <row r="28" spans="2:10" x14ac:dyDescent="0.3">
      <c r="B28" s="79"/>
      <c r="C28" s="14"/>
      <c r="D28" s="14"/>
      <c r="E28" s="14"/>
      <c r="F28" s="14"/>
      <c r="G28" s="14"/>
      <c r="H28" s="14"/>
      <c r="I28" s="49"/>
    </row>
    <row r="29" spans="2:10" ht="15.6" customHeight="1" x14ac:dyDescent="0.4">
      <c r="B29" s="79"/>
      <c r="C29" s="33" t="s">
        <v>116</v>
      </c>
      <c r="D29" s="33"/>
      <c r="E29" s="33"/>
      <c r="F29" s="14"/>
      <c r="G29" s="14"/>
      <c r="H29" s="14"/>
      <c r="I29" s="49"/>
    </row>
    <row r="30" spans="2:10" ht="15" thickBot="1" x14ac:dyDescent="0.3">
      <c r="B30" s="80"/>
      <c r="C30" s="57">
        <f>G27*(C27^2*0.00000001/4)</f>
        <v>198441115315472.94</v>
      </c>
      <c r="D30" s="57"/>
      <c r="E30" s="57"/>
      <c r="F30" s="58"/>
      <c r="G30" s="58"/>
      <c r="H30" s="58"/>
      <c r="I30" s="59"/>
    </row>
  </sheetData>
  <mergeCells count="7">
    <mergeCell ref="C29:E29"/>
    <mergeCell ref="C30:E30"/>
    <mergeCell ref="E27:F27"/>
    <mergeCell ref="G27:I27"/>
    <mergeCell ref="C3:I3"/>
    <mergeCell ref="E26:F26"/>
    <mergeCell ref="G26:I2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2"/>
  <sheetViews>
    <sheetView topLeftCell="A31" zoomScaleNormal="100" workbookViewId="0">
      <selection activeCell="D44" sqref="D44"/>
    </sheetView>
  </sheetViews>
  <sheetFormatPr defaultColWidth="27" defaultRowHeight="15" customHeight="1" x14ac:dyDescent="0.3"/>
  <cols>
    <col min="1" max="1" width="7.09765625" style="4" customWidth="1"/>
    <col min="2" max="4" width="27" style="4"/>
    <col min="5" max="5" width="27" style="4" customWidth="1"/>
    <col min="6" max="16384" width="27" style="4"/>
  </cols>
  <sheetData>
    <row r="2" spans="2:7" ht="15" customHeight="1" x14ac:dyDescent="0.3">
      <c r="B2" s="32" t="s">
        <v>67</v>
      </c>
      <c r="C2" s="18" t="s">
        <v>77</v>
      </c>
    </row>
    <row r="3" spans="2:7" ht="15" customHeight="1" thickBot="1" x14ac:dyDescent="0.35">
      <c r="B3" s="36"/>
      <c r="C3" s="36"/>
      <c r="D3" s="36"/>
      <c r="E3" s="36"/>
      <c r="F3" s="36"/>
      <c r="G3" s="36"/>
    </row>
    <row r="4" spans="2:7" ht="15" customHeight="1" x14ac:dyDescent="0.3">
      <c r="B4" s="81" t="s">
        <v>43</v>
      </c>
      <c r="C4" s="37" t="s">
        <v>147</v>
      </c>
      <c r="D4" s="37" t="s">
        <v>148</v>
      </c>
      <c r="E4" s="60" t="s">
        <v>149</v>
      </c>
      <c r="F4" s="37" t="s">
        <v>138</v>
      </c>
      <c r="G4" s="38" t="s">
        <v>150</v>
      </c>
    </row>
    <row r="5" spans="2:7" ht="15" customHeight="1" x14ac:dyDescent="0.25">
      <c r="B5" s="78"/>
      <c r="C5" s="19">
        <v>8.3000000000000007</v>
      </c>
      <c r="D5" s="19">
        <v>3.2360000000000002</v>
      </c>
      <c r="E5" s="19">
        <f xml:space="preserve"> 12.398/F5</f>
        <v>1</v>
      </c>
      <c r="F5" s="7">
        <v>12.398</v>
      </c>
      <c r="G5" s="39">
        <v>1</v>
      </c>
    </row>
    <row r="6" spans="2:7" ht="15" customHeight="1" x14ac:dyDescent="0.3">
      <c r="B6" s="78"/>
      <c r="C6" s="16"/>
      <c r="D6" s="16"/>
      <c r="E6" s="16"/>
      <c r="F6" s="16"/>
      <c r="G6" s="40"/>
    </row>
    <row r="7" spans="2:7" ht="15" customHeight="1" x14ac:dyDescent="0.3">
      <c r="B7" s="82" t="s">
        <v>66</v>
      </c>
      <c r="C7" s="21" t="s">
        <v>136</v>
      </c>
      <c r="D7" s="20" t="s">
        <v>151</v>
      </c>
      <c r="E7" s="20" t="s">
        <v>46</v>
      </c>
      <c r="F7" s="20" t="s">
        <v>38</v>
      </c>
      <c r="G7" s="40"/>
    </row>
    <row r="8" spans="2:7" ht="15" customHeight="1" x14ac:dyDescent="0.3">
      <c r="B8" s="78"/>
      <c r="C8" s="19">
        <f>1/(1/D8+1/E8)</f>
        <v>0.77352765957446823</v>
      </c>
      <c r="D8" s="15">
        <v>93.22</v>
      </c>
      <c r="E8" s="15">
        <v>0.78</v>
      </c>
      <c r="F8" s="15">
        <v>386.4</v>
      </c>
      <c r="G8" s="40"/>
    </row>
    <row r="9" spans="2:7" ht="15" customHeight="1" x14ac:dyDescent="0.3">
      <c r="B9" s="78"/>
      <c r="C9" s="16"/>
      <c r="D9" s="16"/>
      <c r="E9" s="16"/>
      <c r="F9" s="16"/>
      <c r="G9" s="40"/>
    </row>
    <row r="10" spans="2:7" ht="15" customHeight="1" x14ac:dyDescent="0.3">
      <c r="B10" s="82" t="s">
        <v>42</v>
      </c>
      <c r="C10" s="21" t="s">
        <v>44</v>
      </c>
      <c r="D10" s="21" t="s">
        <v>153</v>
      </c>
      <c r="E10" s="21" t="s">
        <v>154</v>
      </c>
      <c r="F10" s="21" t="s">
        <v>156</v>
      </c>
      <c r="G10" s="41" t="s">
        <v>157</v>
      </c>
    </row>
    <row r="11" spans="2:7" ht="15" customHeight="1" x14ac:dyDescent="0.3">
      <c r="B11" s="78"/>
      <c r="C11" s="19">
        <f>C5*2.35/(D8/E8)</f>
        <v>0.16320424801544736</v>
      </c>
      <c r="D11" s="19">
        <f>0.0001*E5/(2*G11)</f>
        <v>0.2001883239393763</v>
      </c>
      <c r="E11" s="19">
        <f>SQRT(C11^2 + D11^2)</f>
        <v>0.25828471037199302</v>
      </c>
      <c r="F11" s="19">
        <f>1000*0.0000000001*E5/(2*(F8*0.000001/(2*E8))^2)</f>
        <v>0.81497627406350093</v>
      </c>
      <c r="G11" s="61">
        <f>G5*SIN(ATAN(F8/(2*C8*1000000)))</f>
        <v>2.4976481652916815E-4</v>
      </c>
    </row>
    <row r="12" spans="2:7" ht="15" customHeight="1" x14ac:dyDescent="0.3">
      <c r="B12" s="78"/>
      <c r="C12" s="16"/>
      <c r="D12" s="16"/>
      <c r="E12" s="16"/>
      <c r="F12" s="16"/>
      <c r="G12" s="40"/>
    </row>
    <row r="13" spans="2:7" ht="15" customHeight="1" x14ac:dyDescent="0.3">
      <c r="B13" s="82" t="s">
        <v>65</v>
      </c>
      <c r="C13" s="21" t="s">
        <v>152</v>
      </c>
      <c r="D13" s="21" t="s">
        <v>44</v>
      </c>
      <c r="E13" s="21" t="s">
        <v>155</v>
      </c>
      <c r="F13" s="21" t="s">
        <v>45</v>
      </c>
      <c r="G13" s="40"/>
    </row>
    <row r="14" spans="2:7" ht="15" customHeight="1" thickBot="1" x14ac:dyDescent="0.35">
      <c r="B14" s="83"/>
      <c r="C14" s="42">
        <f>1000000*0.44*0.0001*D8/(C5*2.35)</f>
        <v>210.28864393745192</v>
      </c>
      <c r="D14" s="42">
        <f>D5/(D8/E8)</f>
        <v>2.7076593005792751E-2</v>
      </c>
      <c r="E14" s="42">
        <f>1000000*E5*0.0000000001*C8/(C14*0.000001)</f>
        <v>0.36784090909090922</v>
      </c>
      <c r="F14" s="42">
        <f>SQRT(D14^2+E14^2)</f>
        <v>0.36883611033849151</v>
      </c>
      <c r="G14" s="43"/>
    </row>
    <row r="15" spans="2:7" ht="15" customHeight="1" x14ac:dyDescent="0.3">
      <c r="B15" s="16"/>
      <c r="C15" s="16"/>
      <c r="D15" s="16"/>
      <c r="E15" s="16"/>
      <c r="F15" s="16"/>
    </row>
    <row r="17" spans="2:10" ht="15" customHeight="1" x14ac:dyDescent="0.3">
      <c r="B17" s="32" t="s">
        <v>95</v>
      </c>
      <c r="C17" s="18" t="s">
        <v>101</v>
      </c>
      <c r="G17" s="63"/>
    </row>
    <row r="18" spans="2:10" ht="15" customHeight="1" thickBot="1" x14ac:dyDescent="0.35">
      <c r="B18" s="36"/>
      <c r="C18" s="36"/>
      <c r="D18" s="36"/>
      <c r="E18" s="36"/>
      <c r="F18" s="36"/>
      <c r="G18" s="36"/>
      <c r="H18" s="36"/>
    </row>
    <row r="19" spans="2:10" ht="15" customHeight="1" x14ac:dyDescent="0.25">
      <c r="B19" s="81" t="s">
        <v>89</v>
      </c>
      <c r="C19" s="45" t="s">
        <v>140</v>
      </c>
      <c r="D19" s="45" t="s">
        <v>142</v>
      </c>
      <c r="E19" s="45" t="s">
        <v>84</v>
      </c>
      <c r="F19" s="45" t="s">
        <v>86</v>
      </c>
      <c r="G19" s="45" t="s">
        <v>83</v>
      </c>
      <c r="H19" s="64"/>
      <c r="I19"/>
      <c r="J19"/>
    </row>
    <row r="20" spans="2:10" ht="15" customHeight="1" x14ac:dyDescent="0.25">
      <c r="B20" s="78"/>
      <c r="C20" s="29" t="s">
        <v>79</v>
      </c>
      <c r="D20" s="25">
        <v>0.54310000000000003</v>
      </c>
      <c r="E20" s="15">
        <v>1</v>
      </c>
      <c r="F20" s="16">
        <v>1</v>
      </c>
      <c r="G20" s="29">
        <v>1</v>
      </c>
      <c r="H20" s="49"/>
      <c r="I20"/>
      <c r="J20"/>
    </row>
    <row r="21" spans="2:10" ht="15" customHeight="1" x14ac:dyDescent="0.3">
      <c r="B21" s="78"/>
      <c r="C21" s="16"/>
      <c r="D21" s="16"/>
      <c r="E21" s="16"/>
      <c r="F21" s="16"/>
      <c r="G21" s="16"/>
      <c r="H21" s="40"/>
    </row>
    <row r="22" spans="2:10" ht="15" customHeight="1" x14ac:dyDescent="0.25">
      <c r="B22" s="82" t="s">
        <v>87</v>
      </c>
      <c r="C22" s="8" t="s">
        <v>141</v>
      </c>
      <c r="D22" s="8" t="s">
        <v>146</v>
      </c>
      <c r="E22" s="8" t="s">
        <v>145</v>
      </c>
      <c r="F22" s="21" t="s">
        <v>143</v>
      </c>
      <c r="G22" s="21" t="s">
        <v>60</v>
      </c>
      <c r="H22" s="41" t="s">
        <v>177</v>
      </c>
    </row>
    <row r="23" spans="2:10" ht="15" customHeight="1" x14ac:dyDescent="0.25">
      <c r="B23" s="78"/>
      <c r="C23" s="44">
        <v>0.33</v>
      </c>
      <c r="D23" s="27">
        <v>12.398</v>
      </c>
      <c r="E23" s="15">
        <v>1</v>
      </c>
      <c r="F23" s="44">
        <f>12.398/D23</f>
        <v>1</v>
      </c>
      <c r="G23" s="44">
        <f>ASIN(E23*0.1*F23/(2*C23))</f>
        <v>0.15210094168678323</v>
      </c>
      <c r="H23" s="65">
        <f>G23*180/3.141592653</f>
        <v>8.714742020254203</v>
      </c>
    </row>
    <row r="24" spans="2:10" ht="15" customHeight="1" x14ac:dyDescent="0.25">
      <c r="B24" s="78"/>
      <c r="C24" s="29"/>
      <c r="D24" s="29"/>
      <c r="E24" s="14"/>
      <c r="F24" s="14"/>
      <c r="G24" s="27"/>
      <c r="H24" s="40"/>
    </row>
    <row r="25" spans="2:10" ht="15" customHeight="1" x14ac:dyDescent="0.25">
      <c r="B25" s="82" t="s">
        <v>88</v>
      </c>
      <c r="C25" s="21" t="s">
        <v>139</v>
      </c>
      <c r="D25" s="8" t="s">
        <v>82</v>
      </c>
      <c r="E25" s="21" t="s">
        <v>85</v>
      </c>
      <c r="F25" s="21" t="s">
        <v>90</v>
      </c>
      <c r="G25" s="8" t="s">
        <v>144</v>
      </c>
      <c r="H25" s="40"/>
    </row>
    <row r="26" spans="2:10" ht="15" customHeight="1" x14ac:dyDescent="0.25">
      <c r="B26" s="78"/>
      <c r="C26" s="44">
        <f xml:space="preserve"> 6.2915 * EXP(-2.4386*(SIN(G23)/F23)^2) + 3.0353 * EXP(-32.333*(SIN(G23)/F23)^2) + 1.9891 * EXP(-0.6785*(SIN(G23)/F23)^2) + 1.541 * EXP(-81.6937*(SIN(G23)/F23)^2) + 1.1407</f>
        <v>10.729148782383486</v>
      </c>
      <c r="D26" s="62">
        <v>2.8200000000000001E-5</v>
      </c>
      <c r="E26" s="19">
        <f>IMABS(IMPRODUCT(IMSUM(COMPLEX(1, 0), IMEXP(COMPLEX(0,3.141592653*(E20+F20))),IMEXP(COMPLEX(0,3.141592653*(E20+G20))),IMEXP(COMPLEX(0,3.141592653*(F20+G20)))), IMSUM(COMPLEX(1, 0), IMPRODUCT(COMPLEX(1, 0), IMEXP(COMPLEX(0, 2*3.141592653 * (E20 + F20 + G20)/4))))))</f>
        <v>5.6568542469900995</v>
      </c>
      <c r="F26" s="19">
        <f>D20^3 * 1000</f>
        <v>160.19147799100003</v>
      </c>
      <c r="G26" s="19">
        <v>4.7009999999999996</v>
      </c>
      <c r="H26" s="40"/>
    </row>
    <row r="27" spans="2:10" ht="15" customHeight="1" x14ac:dyDescent="0.25">
      <c r="B27" s="78"/>
      <c r="C27" s="27"/>
      <c r="D27" s="27"/>
      <c r="E27" s="27"/>
      <c r="F27" s="14"/>
      <c r="G27" s="14"/>
      <c r="H27" s="40"/>
    </row>
    <row r="28" spans="2:10" ht="15" customHeight="1" x14ac:dyDescent="0.25">
      <c r="B28" s="82" t="s">
        <v>93</v>
      </c>
      <c r="C28" s="21" t="s">
        <v>92</v>
      </c>
      <c r="D28" s="21" t="s">
        <v>98</v>
      </c>
      <c r="E28" s="8" t="s">
        <v>99</v>
      </c>
      <c r="F28" s="21" t="s">
        <v>100</v>
      </c>
      <c r="G28" s="21" t="s">
        <v>91</v>
      </c>
      <c r="H28" s="40"/>
    </row>
    <row r="29" spans="2:10" ht="15" customHeight="1" x14ac:dyDescent="0.3">
      <c r="B29" s="78"/>
      <c r="C29" s="19">
        <f>(4/3.141592653)*(C23*10/E23)^2*(D26*E26*ABS(C26)/F26)*(3/(2*SQRT(2)))*1000</f>
        <v>0.15713184733209828</v>
      </c>
      <c r="D29" s="19">
        <f>C29*TAN(G23)</f>
        <v>2.4085929271313811E-2</v>
      </c>
      <c r="E29" s="19">
        <v>0</v>
      </c>
      <c r="F29" s="19">
        <f>SIN(G23-E29)/SIN(G23+E29)</f>
        <v>1</v>
      </c>
      <c r="G29" s="68">
        <f>SQRT((D29*0.001)^2 + (F29*G26*0.000001*2.35)^2)*_xlfn.COT(G23)</f>
        <v>1.7287165070790364E-4</v>
      </c>
      <c r="H29" s="40"/>
    </row>
    <row r="30" spans="2:10" ht="15" customHeight="1" x14ac:dyDescent="0.3">
      <c r="B30" s="78"/>
      <c r="C30" s="16"/>
      <c r="D30" s="16"/>
      <c r="E30" s="16"/>
      <c r="F30" s="16"/>
      <c r="G30" s="16"/>
      <c r="H30" s="40"/>
    </row>
    <row r="31" spans="2:10" ht="15" customHeight="1" x14ac:dyDescent="0.25">
      <c r="B31" s="82" t="s">
        <v>113</v>
      </c>
      <c r="C31" s="21" t="s">
        <v>94</v>
      </c>
      <c r="D31" s="21" t="s">
        <v>102</v>
      </c>
      <c r="E31" s="21" t="s">
        <v>91</v>
      </c>
      <c r="F31" s="16"/>
      <c r="G31" s="86"/>
      <c r="H31" s="40"/>
    </row>
    <row r="32" spans="2:10" ht="15" customHeight="1" thickBot="1" x14ac:dyDescent="0.35">
      <c r="B32" s="83"/>
      <c r="C32" s="42">
        <v>0</v>
      </c>
      <c r="D32" s="42">
        <f>SQRT(1/(1/D29^2+1/(D29-C32)^2))</f>
        <v>1.7031323918925555E-2</v>
      </c>
      <c r="E32" s="69">
        <f>SQRT((D32*0.001)^2 + (F29*G26*0.000001*2.35)^2)*_xlfn.COT(G23)</f>
        <v>1.324363956602433E-4</v>
      </c>
      <c r="F32" s="66"/>
      <c r="G32" s="66"/>
      <c r="H32" s="43"/>
    </row>
    <row r="33" spans="2:11" ht="15" customHeight="1" x14ac:dyDescent="0.3">
      <c r="I33"/>
    </row>
    <row r="34" spans="2:11" ht="15" customHeight="1" x14ac:dyDescent="0.3">
      <c r="I34"/>
      <c r="J34"/>
      <c r="K34"/>
    </row>
    <row r="35" spans="2:11" ht="15" customHeight="1" x14ac:dyDescent="0.3">
      <c r="B35" s="32" t="s">
        <v>96</v>
      </c>
      <c r="C35" s="18" t="s">
        <v>97</v>
      </c>
    </row>
    <row r="36" spans="2:11" ht="15" customHeight="1" thickBot="1" x14ac:dyDescent="0.35">
      <c r="B36" s="36"/>
      <c r="C36" s="36"/>
      <c r="D36" s="36"/>
      <c r="E36" s="36"/>
      <c r="F36" s="36"/>
      <c r="G36" s="36"/>
      <c r="H36" s="36"/>
    </row>
    <row r="37" spans="2:11" ht="15" customHeight="1" x14ac:dyDescent="0.25">
      <c r="B37" s="81" t="s">
        <v>106</v>
      </c>
      <c r="C37" s="45" t="s">
        <v>103</v>
      </c>
      <c r="D37" s="45" t="s">
        <v>104</v>
      </c>
      <c r="E37" s="45" t="s">
        <v>138</v>
      </c>
      <c r="F37" s="60" t="s">
        <v>137</v>
      </c>
      <c r="G37" s="60" t="s">
        <v>105</v>
      </c>
      <c r="H37" s="72"/>
    </row>
    <row r="38" spans="2:11" ht="15" customHeight="1" x14ac:dyDescent="0.3">
      <c r="B38" s="78"/>
      <c r="C38" s="19">
        <v>-1.9999746499999999E-3</v>
      </c>
      <c r="D38" s="19">
        <v>2.5325407100000001</v>
      </c>
      <c r="E38" s="19">
        <v>12.398</v>
      </c>
      <c r="F38" s="19">
        <f>12.398/E38</f>
        <v>1</v>
      </c>
      <c r="G38" s="68">
        <f>10^(LOG10(E38*1000)*1000*C38+D38)</f>
        <v>2.2178961775656143E-6</v>
      </c>
      <c r="H38" s="40"/>
    </row>
    <row r="39" spans="2:11" ht="15" customHeight="1" x14ac:dyDescent="0.3">
      <c r="B39" s="78"/>
      <c r="C39" s="16"/>
      <c r="D39" s="16"/>
      <c r="E39" s="16"/>
      <c r="F39" s="16"/>
      <c r="G39" s="16"/>
      <c r="H39" s="40"/>
    </row>
    <row r="40" spans="2:11" ht="15" customHeight="1" x14ac:dyDescent="0.25">
      <c r="B40" s="82" t="s">
        <v>128</v>
      </c>
      <c r="C40" s="8" t="s">
        <v>107</v>
      </c>
      <c r="D40" s="8" t="s">
        <v>108</v>
      </c>
      <c r="E40" s="21" t="s">
        <v>111</v>
      </c>
      <c r="F40" s="8" t="s">
        <v>109</v>
      </c>
      <c r="G40" s="8" t="s">
        <v>110</v>
      </c>
      <c r="H40" s="41" t="s">
        <v>112</v>
      </c>
    </row>
    <row r="41" spans="2:11" ht="15" customHeight="1" x14ac:dyDescent="0.3">
      <c r="B41" s="78"/>
      <c r="C41" s="71">
        <v>1</v>
      </c>
      <c r="D41" s="19">
        <v>1000</v>
      </c>
      <c r="E41" s="19">
        <f>D41*0.000001/(2*C41*G38)</f>
        <v>225.43886637146613</v>
      </c>
      <c r="F41" s="71">
        <v>1</v>
      </c>
      <c r="G41" s="19">
        <v>100</v>
      </c>
      <c r="H41" s="73">
        <f>G41*0.000001/(2*F41*G38)</f>
        <v>22.54388663714661</v>
      </c>
    </row>
    <row r="42" spans="2:11" ht="15" customHeight="1" x14ac:dyDescent="0.3">
      <c r="B42" s="78"/>
      <c r="C42" s="16"/>
      <c r="D42" s="16"/>
      <c r="E42" s="16"/>
      <c r="F42" s="16"/>
      <c r="G42" s="16"/>
      <c r="H42" s="40"/>
    </row>
    <row r="43" spans="2:11" ht="15" customHeight="1" x14ac:dyDescent="0.25">
      <c r="B43" s="82" t="s">
        <v>129</v>
      </c>
      <c r="C43" s="8" t="s">
        <v>120</v>
      </c>
      <c r="D43" s="8" t="s">
        <v>121</v>
      </c>
      <c r="E43" s="8" t="s">
        <v>122</v>
      </c>
      <c r="F43" s="21" t="s">
        <v>205</v>
      </c>
      <c r="G43" s="8" t="s">
        <v>123</v>
      </c>
      <c r="H43" s="41" t="s">
        <v>205</v>
      </c>
    </row>
    <row r="44" spans="2:11" ht="15" customHeight="1" x14ac:dyDescent="0.3">
      <c r="B44" s="78"/>
      <c r="C44" s="19">
        <v>10</v>
      </c>
      <c r="D44" s="19">
        <v>0.1</v>
      </c>
      <c r="E44" s="68">
        <v>2.8185999999999999E-2</v>
      </c>
      <c r="F44" s="84">
        <f>EXP(-C44*D44*0.001/E44)</f>
        <v>0.96514338190026194</v>
      </c>
      <c r="G44" s="68">
        <v>1.5440000000000001E-2</v>
      </c>
      <c r="H44" s="85">
        <f>EXP(-C44*D44*0.001/G44)</f>
        <v>0.93728597608308639</v>
      </c>
    </row>
    <row r="45" spans="2:11" ht="15" customHeight="1" x14ac:dyDescent="0.3">
      <c r="B45" s="78"/>
      <c r="C45" s="16"/>
      <c r="D45" s="16"/>
      <c r="E45" s="16"/>
      <c r="F45" s="16"/>
      <c r="G45" s="16"/>
      <c r="H45" s="40"/>
    </row>
    <row r="46" spans="2:11" ht="15" customHeight="1" x14ac:dyDescent="0.25">
      <c r="B46" s="78"/>
      <c r="C46" s="16"/>
      <c r="D46" s="16"/>
      <c r="E46" s="8" t="s">
        <v>124</v>
      </c>
      <c r="F46" s="21" t="s">
        <v>205</v>
      </c>
      <c r="G46" s="8" t="s">
        <v>125</v>
      </c>
      <c r="H46" s="41" t="s">
        <v>205</v>
      </c>
    </row>
    <row r="47" spans="2:11" ht="15" customHeight="1" x14ac:dyDescent="0.3">
      <c r="B47" s="78"/>
      <c r="C47" s="16"/>
      <c r="D47" s="16"/>
      <c r="E47" s="68">
        <v>9.5890000000000003E-3</v>
      </c>
      <c r="F47" s="84">
        <f>EXP(-C44*D44*0.001/E47)</f>
        <v>0.90096743858118788</v>
      </c>
      <c r="G47" s="68">
        <v>5.2760000000000003E-3</v>
      </c>
      <c r="H47" s="85">
        <f>EXP(-C44*D44*0.001/G47)</f>
        <v>0.82734166748046711</v>
      </c>
    </row>
    <row r="48" spans="2:11" ht="15" customHeight="1" x14ac:dyDescent="0.3">
      <c r="B48" s="78"/>
      <c r="C48" s="16"/>
      <c r="D48" s="16"/>
      <c r="E48" s="16"/>
      <c r="F48" s="16"/>
      <c r="G48" s="16"/>
      <c r="H48" s="40"/>
    </row>
    <row r="49" spans="2:8" ht="15" customHeight="1" x14ac:dyDescent="0.25">
      <c r="B49" s="82" t="s">
        <v>130</v>
      </c>
      <c r="C49" s="8" t="s">
        <v>131</v>
      </c>
      <c r="D49" s="8" t="s">
        <v>132</v>
      </c>
      <c r="E49" s="8" t="s">
        <v>133</v>
      </c>
      <c r="F49" s="8" t="s">
        <v>134</v>
      </c>
      <c r="G49" s="8" t="s">
        <v>135</v>
      </c>
      <c r="H49" s="41" t="s">
        <v>136</v>
      </c>
    </row>
    <row r="50" spans="2:8" ht="15" customHeight="1" thickBot="1" x14ac:dyDescent="0.35">
      <c r="B50" s="83"/>
      <c r="C50" s="42">
        <v>22.544</v>
      </c>
      <c r="D50" s="42">
        <v>22.544</v>
      </c>
      <c r="E50" s="67">
        <v>1E+20</v>
      </c>
      <c r="F50" s="67">
        <v>1E+20</v>
      </c>
      <c r="G50" s="67">
        <v>1E+20</v>
      </c>
      <c r="H50" s="74">
        <f>1/(1/C50+1/D50+1/E50+1/F50+1/G50)</f>
        <v>11.272</v>
      </c>
    </row>
    <row r="53" spans="2:8" ht="15" customHeight="1" x14ac:dyDescent="0.3">
      <c r="B53" s="32" t="s">
        <v>126</v>
      </c>
      <c r="C53" s="18" t="s">
        <v>127</v>
      </c>
    </row>
    <row r="54" spans="2:8" ht="15" customHeight="1" thickBot="1" x14ac:dyDescent="0.35">
      <c r="B54" s="70"/>
      <c r="C54" s="70"/>
      <c r="D54" s="70"/>
      <c r="E54" s="70"/>
      <c r="F54" s="70"/>
      <c r="G54" s="70"/>
      <c r="H54" s="70"/>
    </row>
    <row r="55" spans="2:8" ht="15" customHeight="1" x14ac:dyDescent="0.25">
      <c r="B55" s="81" t="s">
        <v>173</v>
      </c>
      <c r="C55" s="45" t="s">
        <v>161</v>
      </c>
      <c r="D55" s="45" t="s">
        <v>162</v>
      </c>
      <c r="E55" s="45" t="s">
        <v>163</v>
      </c>
      <c r="F55" s="45" t="s">
        <v>164</v>
      </c>
      <c r="G55" s="45" t="s">
        <v>165</v>
      </c>
      <c r="H55" s="46" t="s">
        <v>166</v>
      </c>
    </row>
    <row r="56" spans="2:8" ht="15" customHeight="1" x14ac:dyDescent="0.25">
      <c r="B56" s="78"/>
      <c r="C56" s="44">
        <v>42.54</v>
      </c>
      <c r="D56" s="44">
        <v>1E+20</v>
      </c>
      <c r="E56" s="44">
        <v>0.152</v>
      </c>
      <c r="F56" s="44">
        <v>40</v>
      </c>
      <c r="G56" s="44">
        <v>48.5</v>
      </c>
      <c r="H56" s="65">
        <v>31</v>
      </c>
    </row>
    <row r="57" spans="2:8" ht="15" customHeight="1" x14ac:dyDescent="0.3">
      <c r="B57" s="78"/>
      <c r="C57" s="16"/>
      <c r="D57" s="16"/>
      <c r="E57" s="16"/>
      <c r="F57" s="16"/>
      <c r="G57" s="16"/>
      <c r="H57" s="40"/>
    </row>
    <row r="58" spans="2:8" ht="15" customHeight="1" x14ac:dyDescent="0.3">
      <c r="B58" s="82" t="s">
        <v>174</v>
      </c>
      <c r="C58" s="21" t="s">
        <v>158</v>
      </c>
      <c r="D58" s="21" t="s">
        <v>167</v>
      </c>
      <c r="E58" s="21" t="s">
        <v>168</v>
      </c>
      <c r="F58" s="21" t="s">
        <v>159</v>
      </c>
      <c r="G58" s="21" t="s">
        <v>160</v>
      </c>
      <c r="H58" s="41" t="s">
        <v>168</v>
      </c>
    </row>
    <row r="59" spans="2:8" ht="15" customHeight="1" x14ac:dyDescent="0.25">
      <c r="B59" s="78"/>
      <c r="C59" s="44">
        <f>C56/(2*SIN(E56))</f>
        <v>140.47450649827238</v>
      </c>
      <c r="D59" s="44">
        <f>F56*C59/(F56-C59) + F56</f>
        <v>-15.924437509205497</v>
      </c>
      <c r="E59" s="44">
        <f>(G56*H56*(G56-D59)/(G56+H56))/((G56-D59)-G56*H56/(G56-D59))-H56</f>
        <v>-1.3460673819119542</v>
      </c>
      <c r="F59" s="44">
        <f>D56/(2*SIN(E56))</f>
        <v>3.3021745768282181E+20</v>
      </c>
      <c r="G59" s="44">
        <f>F56*F59/(F56-F59) + F56</f>
        <v>0</v>
      </c>
      <c r="H59" s="65">
        <f>(G56*H56*(G56-G59)/(G56+H56))/((G56-G59)-G56*H56/(G56+H56))-H56</f>
        <v>0</v>
      </c>
    </row>
    <row r="60" spans="2:8" ht="15" customHeight="1" x14ac:dyDescent="0.3">
      <c r="B60" s="78"/>
      <c r="C60" s="16"/>
      <c r="D60" s="16"/>
      <c r="E60" s="16"/>
      <c r="F60" s="16"/>
      <c r="G60" s="16"/>
      <c r="H60" s="40"/>
    </row>
    <row r="61" spans="2:8" ht="15" customHeight="1" x14ac:dyDescent="0.25">
      <c r="B61" s="82" t="s">
        <v>175</v>
      </c>
      <c r="C61" s="8" t="s">
        <v>169</v>
      </c>
      <c r="D61" s="8" t="s">
        <v>172</v>
      </c>
      <c r="E61" s="21" t="s">
        <v>170</v>
      </c>
      <c r="F61" s="21" t="s">
        <v>171</v>
      </c>
      <c r="G61" s="16"/>
      <c r="H61" s="40"/>
    </row>
    <row r="62" spans="2:8" ht="15" customHeight="1" thickBot="1" x14ac:dyDescent="0.3">
      <c r="B62" s="83"/>
      <c r="C62" s="87">
        <v>1000</v>
      </c>
      <c r="D62" s="87">
        <v>225.43899999999999</v>
      </c>
      <c r="E62" s="88">
        <f>_xlfn.CEILING.MATH(D62/C59)</f>
        <v>2</v>
      </c>
      <c r="F62" s="66">
        <f>_xlfn.CEILING.MATH(D62/F59)</f>
        <v>1</v>
      </c>
      <c r="G62" s="66"/>
      <c r="H62" s="43"/>
    </row>
  </sheetData>
  <mergeCells count="4">
    <mergeCell ref="B36:H36"/>
    <mergeCell ref="B54:H54"/>
    <mergeCell ref="B3:G3"/>
    <mergeCell ref="B18:H1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zoomScaleNormal="100" workbookViewId="0">
      <selection activeCell="D36" sqref="D36"/>
    </sheetView>
  </sheetViews>
  <sheetFormatPr defaultColWidth="27" defaultRowHeight="14.4" x14ac:dyDescent="0.3"/>
  <cols>
    <col min="1" max="1" width="7.09765625" customWidth="1"/>
  </cols>
  <sheetData>
    <row r="2" spans="2:7" ht="15.6" x14ac:dyDescent="0.3">
      <c r="B2" s="32" t="s">
        <v>75</v>
      </c>
      <c r="C2" s="18" t="s">
        <v>76</v>
      </c>
      <c r="D2" s="1"/>
      <c r="E2" s="1"/>
      <c r="F2" s="1"/>
      <c r="G2" s="1"/>
    </row>
    <row r="3" spans="2:7" x14ac:dyDescent="0.25">
      <c r="B3" s="2"/>
      <c r="C3" s="34"/>
      <c r="D3" s="34"/>
      <c r="E3" s="34"/>
      <c r="F3" s="34"/>
      <c r="G3" s="34"/>
    </row>
    <row r="4" spans="2:7" x14ac:dyDescent="0.25">
      <c r="B4" s="8" t="s">
        <v>80</v>
      </c>
      <c r="C4" s="8" t="s">
        <v>81</v>
      </c>
      <c r="D4" s="24" t="s">
        <v>47</v>
      </c>
      <c r="E4" s="24" t="s">
        <v>48</v>
      </c>
      <c r="F4" s="24" t="s">
        <v>49</v>
      </c>
      <c r="G4" s="14"/>
    </row>
    <row r="5" spans="2:7" x14ac:dyDescent="0.25">
      <c r="B5" s="29" t="s">
        <v>79</v>
      </c>
      <c r="C5" s="25">
        <v>0.54310000000000003</v>
      </c>
      <c r="D5" s="25">
        <v>0.54310000000000003</v>
      </c>
      <c r="E5" s="26">
        <v>3.16883E-6</v>
      </c>
      <c r="F5" s="26">
        <v>3.1589934200000002E-8</v>
      </c>
      <c r="G5" s="14"/>
    </row>
    <row r="6" spans="2:7" x14ac:dyDescent="0.25">
      <c r="B6" s="29"/>
      <c r="C6" s="29"/>
      <c r="D6" s="29"/>
      <c r="E6" s="29"/>
      <c r="F6" s="29"/>
      <c r="G6" s="23"/>
    </row>
    <row r="7" spans="2:7" x14ac:dyDescent="0.25">
      <c r="B7" s="24" t="s">
        <v>50</v>
      </c>
      <c r="C7" s="24" t="s">
        <v>51</v>
      </c>
      <c r="D7" s="24" t="s">
        <v>52</v>
      </c>
      <c r="E7" s="24" t="s">
        <v>53</v>
      </c>
      <c r="F7" s="24" t="s">
        <v>54</v>
      </c>
    </row>
    <row r="8" spans="2:7" x14ac:dyDescent="0.25">
      <c r="B8" s="7">
        <v>0.33</v>
      </c>
      <c r="C8" s="7">
        <v>0.94</v>
      </c>
      <c r="D8" s="7">
        <v>0.64</v>
      </c>
      <c r="E8" s="7">
        <v>1.63</v>
      </c>
      <c r="F8" s="7">
        <v>1</v>
      </c>
    </row>
    <row r="9" spans="2:7" x14ac:dyDescent="0.3">
      <c r="B9" s="14"/>
      <c r="C9" s="14"/>
      <c r="D9" s="14"/>
      <c r="E9" s="14"/>
      <c r="F9" s="14"/>
    </row>
    <row r="10" spans="2:7" x14ac:dyDescent="0.25">
      <c r="B10" s="24" t="s">
        <v>59</v>
      </c>
      <c r="C10" s="24" t="s">
        <v>58</v>
      </c>
      <c r="D10" s="24" t="s">
        <v>57</v>
      </c>
      <c r="E10" s="24" t="s">
        <v>56</v>
      </c>
      <c r="F10" s="24" t="s">
        <v>55</v>
      </c>
    </row>
    <row r="11" spans="2:7" x14ac:dyDescent="0.25">
      <c r="B11" s="7">
        <v>2.37</v>
      </c>
      <c r="C11" s="7">
        <v>1.37</v>
      </c>
      <c r="D11" s="7">
        <v>1.75</v>
      </c>
      <c r="E11" s="7">
        <v>1.59</v>
      </c>
      <c r="F11" s="7">
        <v>2.21</v>
      </c>
    </row>
  </sheetData>
  <mergeCells count="1">
    <mergeCell ref="C3:G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9"/>
  <sheetViews>
    <sheetView tabSelected="1" zoomScale="85" zoomScaleNormal="85" workbookViewId="0">
      <selection activeCell="K36" sqref="K36"/>
    </sheetView>
  </sheetViews>
  <sheetFormatPr defaultColWidth="18.69921875" defaultRowHeight="16.95" customHeight="1" x14ac:dyDescent="0.3"/>
  <cols>
    <col min="1" max="1" width="7.09765625" customWidth="1"/>
  </cols>
  <sheetData>
    <row r="2" spans="2:18" ht="16.95" customHeight="1" x14ac:dyDescent="0.3">
      <c r="B2" s="147" t="s">
        <v>176</v>
      </c>
      <c r="C2" s="148" t="s">
        <v>202</v>
      </c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2:18" ht="16.95" customHeight="1" thickBot="1" x14ac:dyDescent="0.45">
      <c r="B3" s="89"/>
      <c r="C3" s="32"/>
      <c r="G3" s="86"/>
      <c r="H3" s="86"/>
      <c r="I3" s="86"/>
      <c r="J3" s="96"/>
      <c r="K3" s="94"/>
      <c r="L3" s="94"/>
      <c r="M3" s="94"/>
      <c r="N3" s="95"/>
      <c r="O3" s="95"/>
      <c r="P3" s="95"/>
      <c r="Q3" s="89"/>
      <c r="R3" s="89"/>
    </row>
    <row r="4" spans="2:18" ht="16.95" customHeight="1" thickBot="1" x14ac:dyDescent="0.35">
      <c r="B4" s="97"/>
      <c r="C4" s="91"/>
      <c r="D4" s="92"/>
      <c r="E4" s="92"/>
      <c r="F4" s="92"/>
      <c r="G4" s="128" t="s">
        <v>184</v>
      </c>
      <c r="H4" s="98" t="s">
        <v>185</v>
      </c>
      <c r="I4" s="99" t="s">
        <v>186</v>
      </c>
      <c r="J4" s="93"/>
      <c r="K4" s="92"/>
      <c r="L4" s="92"/>
      <c r="M4" s="92"/>
      <c r="N4" s="128" t="s">
        <v>184</v>
      </c>
      <c r="O4" s="98" t="s">
        <v>185</v>
      </c>
      <c r="P4" s="99" t="s">
        <v>186</v>
      </c>
      <c r="Q4" s="89"/>
      <c r="R4" s="89"/>
    </row>
    <row r="5" spans="2:18" ht="16.95" customHeight="1" x14ac:dyDescent="0.3">
      <c r="B5" s="100"/>
      <c r="C5" s="101"/>
      <c r="D5" s="140" t="s">
        <v>207</v>
      </c>
      <c r="E5" s="141"/>
      <c r="F5" s="142"/>
      <c r="G5" s="129">
        <v>3.9049999999999998</v>
      </c>
      <c r="H5" s="105">
        <v>3.9049999999999998</v>
      </c>
      <c r="I5" s="126">
        <v>3.9049999999999998</v>
      </c>
      <c r="J5" s="102"/>
      <c r="K5" s="140" t="s">
        <v>183</v>
      </c>
      <c r="L5" s="141"/>
      <c r="M5" s="141"/>
      <c r="N5" s="129">
        <f t="shared" ref="N5:P6" si="0">G5</f>
        <v>3.9049999999999998</v>
      </c>
      <c r="O5" s="105">
        <f t="shared" si="0"/>
        <v>3.9049999999999998</v>
      </c>
      <c r="P5" s="126">
        <f>I5</f>
        <v>3.9049999999999998</v>
      </c>
      <c r="Q5" s="89"/>
      <c r="R5" s="89"/>
    </row>
    <row r="6" spans="2:18" ht="16.95" customHeight="1" thickBot="1" x14ac:dyDescent="0.35">
      <c r="B6" s="100"/>
      <c r="C6" s="101"/>
      <c r="D6" s="104" t="s">
        <v>179</v>
      </c>
      <c r="E6" s="103" t="s">
        <v>180</v>
      </c>
      <c r="F6" s="143" t="s">
        <v>181</v>
      </c>
      <c r="G6" s="130">
        <v>90</v>
      </c>
      <c r="H6" s="131">
        <v>90</v>
      </c>
      <c r="I6" s="132">
        <v>90</v>
      </c>
      <c r="J6" s="102"/>
      <c r="K6" s="104" t="s">
        <v>179</v>
      </c>
      <c r="L6" s="103" t="s">
        <v>180</v>
      </c>
      <c r="M6" s="103" t="s">
        <v>181</v>
      </c>
      <c r="N6" s="130">
        <f t="shared" si="0"/>
        <v>90</v>
      </c>
      <c r="O6" s="131">
        <f t="shared" si="0"/>
        <v>90</v>
      </c>
      <c r="P6" s="132">
        <f t="shared" si="0"/>
        <v>90</v>
      </c>
      <c r="Q6" s="89"/>
      <c r="R6" s="89"/>
    </row>
    <row r="7" spans="2:18" ht="16.95" customHeight="1" thickBot="1" x14ac:dyDescent="0.35">
      <c r="B7" s="128" t="s">
        <v>178</v>
      </c>
      <c r="C7" s="139">
        <f>G9/SQRT(G10*D7^2+G11*E7^2+G12*F7^2+2*G13*D7*E7+2*G14*E7*F7+2*G15*D7*F7)</f>
        <v>3.9049999999999998</v>
      </c>
      <c r="D7" s="144">
        <v>0</v>
      </c>
      <c r="E7" s="145">
        <v>0</v>
      </c>
      <c r="F7" s="146">
        <v>1</v>
      </c>
      <c r="G7" s="138" t="s">
        <v>187</v>
      </c>
      <c r="H7" s="157">
        <f>180/PI()*ACOS(C7*J7/G9^2*(G10*D7*K7+G11*E7*L7+G12*F7*M7+G14*(E7*M7+F7*L7)+G15*(F7*K7+M7*D7)+G13*(D7*L7+K7*E7)))</f>
        <v>19.47122063449066</v>
      </c>
      <c r="I7" s="106"/>
      <c r="J7" s="127">
        <f>N9/SQRT(N10*K7^2+N11*L7^2+N12*M7^2+2*N13*K7*L7+2*N14*L7*M7+2*N15*K7*M7)</f>
        <v>0.92041732684448929</v>
      </c>
      <c r="K7" s="144">
        <v>1</v>
      </c>
      <c r="L7" s="145">
        <v>1</v>
      </c>
      <c r="M7" s="146">
        <v>4</v>
      </c>
      <c r="N7" s="107"/>
      <c r="O7" s="107"/>
      <c r="P7" s="106"/>
      <c r="Q7" s="90"/>
      <c r="R7" s="89"/>
    </row>
    <row r="8" spans="2:18" ht="16.95" customHeight="1" x14ac:dyDescent="0.3">
      <c r="B8" s="108" t="s">
        <v>188</v>
      </c>
      <c r="C8" s="133">
        <f>C7*2</f>
        <v>7.81</v>
      </c>
      <c r="D8" s="107"/>
      <c r="E8" s="107"/>
      <c r="F8" s="107"/>
      <c r="G8" s="107"/>
      <c r="H8" s="107"/>
      <c r="I8" s="107"/>
      <c r="J8" s="109" t="s">
        <v>189</v>
      </c>
      <c r="K8" s="107"/>
      <c r="L8" s="107"/>
      <c r="M8" s="107"/>
      <c r="N8" s="107"/>
      <c r="O8" s="107"/>
      <c r="P8" s="106"/>
      <c r="Q8" s="89"/>
      <c r="R8" s="89"/>
    </row>
    <row r="9" spans="2:18" ht="16.95" customHeight="1" x14ac:dyDescent="0.3">
      <c r="B9" s="108" t="s">
        <v>189</v>
      </c>
      <c r="C9" s="134">
        <f>360/PI()*ASIN(C11/2/C7)</f>
        <v>14.712804548166329</v>
      </c>
      <c r="D9" s="107"/>
      <c r="E9" s="107"/>
      <c r="F9" s="110" t="s">
        <v>182</v>
      </c>
      <c r="G9" s="111">
        <f>G5*H5*I5*SQRT(1-COS(G6*PI()/180)^2-COS(H6*PI()/180)^2-COS(I6*PI()/180)^2+2*COS(G6*PI()/180)*COS(H6*PI()/180)*COS(I6*PI()/180))</f>
        <v>59.547442624999988</v>
      </c>
      <c r="H9" s="107"/>
      <c r="I9" s="107"/>
      <c r="J9" s="112">
        <f>360/PI()*ASIN(C11/2/J7)</f>
        <v>65.807833075704281</v>
      </c>
      <c r="K9" s="107"/>
      <c r="L9" s="107"/>
      <c r="M9" s="110" t="s">
        <v>182</v>
      </c>
      <c r="N9" s="113">
        <f>G9</f>
        <v>59.547442624999988</v>
      </c>
      <c r="O9" s="107"/>
      <c r="P9" s="106"/>
      <c r="Q9" s="89"/>
      <c r="R9" s="89"/>
    </row>
    <row r="10" spans="2:18" ht="16.95" customHeight="1" x14ac:dyDescent="0.3">
      <c r="B10" s="104" t="s">
        <v>200</v>
      </c>
      <c r="C10" s="135">
        <v>12.398</v>
      </c>
      <c r="D10" s="107"/>
      <c r="E10" s="107"/>
      <c r="F10" s="114" t="s">
        <v>190</v>
      </c>
      <c r="G10" s="115">
        <f>(H5*I5*SIN(G6*PI()/180))^2</f>
        <v>232.53276345062494</v>
      </c>
      <c r="H10" s="107"/>
      <c r="I10" s="107"/>
      <c r="J10" s="116" t="s">
        <v>191</v>
      </c>
      <c r="K10" s="107"/>
      <c r="L10" s="107"/>
      <c r="M10" s="114" t="s">
        <v>190</v>
      </c>
      <c r="N10" s="117">
        <f t="shared" ref="N10:N15" si="1">G10</f>
        <v>232.53276345062494</v>
      </c>
      <c r="O10" s="107"/>
      <c r="P10" s="106"/>
      <c r="Q10" s="89"/>
      <c r="R10" s="89"/>
    </row>
    <row r="11" spans="2:18" ht="16.95" customHeight="1" thickBot="1" x14ac:dyDescent="0.35">
      <c r="B11" s="136" t="s">
        <v>143</v>
      </c>
      <c r="C11" s="137">
        <f>12.398/C10</f>
        <v>1</v>
      </c>
      <c r="D11" s="107"/>
      <c r="E11" s="107"/>
      <c r="F11" s="114" t="s">
        <v>192</v>
      </c>
      <c r="G11" s="115">
        <f>(G5*I5*SIN(H6*PI()/180))^2</f>
        <v>232.53276345062494</v>
      </c>
      <c r="H11" s="107"/>
      <c r="I11" s="107"/>
      <c r="J11" s="118">
        <f>J9/2-H7</f>
        <v>13.432695903361481</v>
      </c>
      <c r="K11" s="107"/>
      <c r="L11" s="107"/>
      <c r="M11" s="114" t="s">
        <v>193</v>
      </c>
      <c r="N11" s="117">
        <f t="shared" si="1"/>
        <v>232.53276345062494</v>
      </c>
      <c r="O11" s="107"/>
      <c r="P11" s="106"/>
      <c r="Q11" s="89"/>
      <c r="R11" s="89"/>
    </row>
    <row r="12" spans="2:18" ht="16.95" customHeight="1" x14ac:dyDescent="0.3">
      <c r="B12" s="100"/>
      <c r="C12" s="107"/>
      <c r="D12" s="107"/>
      <c r="E12" s="107"/>
      <c r="F12" s="114" t="s">
        <v>194</v>
      </c>
      <c r="G12" s="115">
        <f>(G5*H5*SIN(I6*PI()/180))^2</f>
        <v>232.53276345062494</v>
      </c>
      <c r="H12" s="107"/>
      <c r="I12" s="106"/>
      <c r="J12" s="100"/>
      <c r="K12" s="107"/>
      <c r="L12" s="107"/>
      <c r="M12" s="114" t="s">
        <v>194</v>
      </c>
      <c r="N12" s="117">
        <f t="shared" si="1"/>
        <v>232.53276345062494</v>
      </c>
      <c r="O12" s="107"/>
      <c r="P12" s="106"/>
      <c r="Q12" s="89"/>
      <c r="R12" s="89"/>
    </row>
    <row r="13" spans="2:18" ht="16.95" customHeight="1" x14ac:dyDescent="0.3">
      <c r="B13" s="100"/>
      <c r="C13" s="107"/>
      <c r="D13" s="107"/>
      <c r="E13" s="107"/>
      <c r="F13" s="114" t="s">
        <v>195</v>
      </c>
      <c r="G13" s="115">
        <f>G5*H5*I5^2*(COS(G6*PI()/180)*COS(H6*PI()/180)-COS(I6*PI()/180))</f>
        <v>-1.4244357792858239E-14</v>
      </c>
      <c r="H13" s="107"/>
      <c r="I13" s="106"/>
      <c r="J13" s="100"/>
      <c r="K13" s="107"/>
      <c r="L13" s="107"/>
      <c r="M13" s="114" t="s">
        <v>195</v>
      </c>
      <c r="N13" s="117">
        <f t="shared" si="1"/>
        <v>-1.4244357792858239E-14</v>
      </c>
      <c r="O13" s="107"/>
      <c r="P13" s="106"/>
      <c r="Q13" s="89"/>
      <c r="R13" s="89"/>
    </row>
    <row r="14" spans="2:18" ht="16.95" customHeight="1" x14ac:dyDescent="0.3">
      <c r="B14" s="100"/>
      <c r="C14" s="107"/>
      <c r="D14" s="107"/>
      <c r="E14" s="107"/>
      <c r="F14" s="114" t="s">
        <v>196</v>
      </c>
      <c r="G14" s="115">
        <f>G5^2*H5*I5*(-COS(G6*PI()/180)+COS(H6*PI()/180)*COS(I6*PI()/180))</f>
        <v>-1.4244357792858239E-14</v>
      </c>
      <c r="H14" s="107"/>
      <c r="I14" s="106"/>
      <c r="J14" s="100"/>
      <c r="K14" s="107"/>
      <c r="L14" s="107"/>
      <c r="M14" s="114" t="s">
        <v>197</v>
      </c>
      <c r="N14" s="117">
        <f t="shared" si="1"/>
        <v>-1.4244357792858239E-14</v>
      </c>
      <c r="O14" s="107"/>
      <c r="P14" s="106"/>
      <c r="Q14" s="89"/>
      <c r="R14" s="89"/>
    </row>
    <row r="15" spans="2:18" ht="16.95" customHeight="1" thickBot="1" x14ac:dyDescent="0.35">
      <c r="B15" s="119"/>
      <c r="C15" s="120"/>
      <c r="D15" s="120"/>
      <c r="E15" s="120"/>
      <c r="F15" s="121" t="s">
        <v>198</v>
      </c>
      <c r="G15" s="122">
        <f>G5*H5^2*I5*(COS(G6*PI()/180)*COS(I6*PI()/180)-COS(H6*PI()/180))</f>
        <v>-1.4244357792858239E-14</v>
      </c>
      <c r="H15" s="120"/>
      <c r="I15" s="123"/>
      <c r="J15" s="119"/>
      <c r="K15" s="120"/>
      <c r="L15" s="120"/>
      <c r="M15" s="121" t="s">
        <v>199</v>
      </c>
      <c r="N15" s="124">
        <f t="shared" si="1"/>
        <v>-1.4244357792858239E-14</v>
      </c>
      <c r="O15" s="120"/>
      <c r="P15" s="125"/>
      <c r="Q15" s="89"/>
      <c r="R15" s="89"/>
    </row>
    <row r="16" spans="2:18" ht="16.95" customHeight="1" x14ac:dyDescent="0.3"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</row>
    <row r="17" spans="2:18" ht="16.95" customHeight="1" x14ac:dyDescent="0.3"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</row>
    <row r="18" spans="2:18" ht="16.95" customHeight="1" x14ac:dyDescent="0.3">
      <c r="B18" s="147" t="s">
        <v>201</v>
      </c>
      <c r="C18" s="148" t="s">
        <v>203</v>
      </c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</row>
    <row r="19" spans="2:18" ht="16.95" customHeight="1" thickBot="1" x14ac:dyDescent="0.45">
      <c r="B19" s="89"/>
      <c r="C19" s="32"/>
      <c r="G19" s="86"/>
      <c r="H19" s="86"/>
      <c r="I19" s="86"/>
      <c r="J19" s="96"/>
      <c r="K19" s="94"/>
      <c r="L19" s="94"/>
      <c r="M19" s="94"/>
      <c r="N19" s="95"/>
      <c r="O19" s="95"/>
      <c r="P19" s="95"/>
      <c r="Q19" s="89"/>
      <c r="R19" s="89"/>
    </row>
    <row r="20" spans="2:18" ht="16.95" customHeight="1" thickBot="1" x14ac:dyDescent="0.35">
      <c r="B20" s="97"/>
      <c r="C20" s="91"/>
      <c r="D20" s="92"/>
      <c r="E20" s="92"/>
      <c r="F20" s="92"/>
      <c r="G20" s="128" t="s">
        <v>184</v>
      </c>
      <c r="H20" s="98" t="s">
        <v>185</v>
      </c>
      <c r="I20" s="99" t="s">
        <v>186</v>
      </c>
      <c r="J20" s="93"/>
      <c r="K20" s="92"/>
      <c r="L20" s="92"/>
      <c r="M20" s="92"/>
      <c r="N20" s="128" t="s">
        <v>184</v>
      </c>
      <c r="O20" s="98" t="s">
        <v>185</v>
      </c>
      <c r="P20" s="99" t="s">
        <v>186</v>
      </c>
      <c r="Q20" s="89"/>
      <c r="R20" s="89"/>
    </row>
    <row r="21" spans="2:18" ht="16.95" customHeight="1" x14ac:dyDescent="0.3">
      <c r="B21" s="100"/>
      <c r="C21" s="101"/>
      <c r="D21" s="140" t="s">
        <v>208</v>
      </c>
      <c r="E21" s="141"/>
      <c r="F21" s="142"/>
      <c r="G21" s="129">
        <v>3.79</v>
      </c>
      <c r="H21" s="105">
        <v>3.79</v>
      </c>
      <c r="I21" s="126">
        <v>3.79</v>
      </c>
      <c r="J21" s="102"/>
      <c r="K21" s="140" t="s">
        <v>183</v>
      </c>
      <c r="L21" s="141"/>
      <c r="M21" s="141"/>
      <c r="N21" s="129">
        <f t="shared" ref="N21:N22" si="2">G21</f>
        <v>3.79</v>
      </c>
      <c r="O21" s="105">
        <f t="shared" ref="O21:O22" si="3">H21</f>
        <v>3.79</v>
      </c>
      <c r="P21" s="126">
        <f>I21</f>
        <v>3.79</v>
      </c>
    </row>
    <row r="22" spans="2:18" ht="16.95" customHeight="1" thickBot="1" x14ac:dyDescent="0.35">
      <c r="B22" s="100"/>
      <c r="C22" s="101"/>
      <c r="D22" s="104" t="s">
        <v>179</v>
      </c>
      <c r="E22" s="103" t="s">
        <v>180</v>
      </c>
      <c r="F22" s="143" t="s">
        <v>181</v>
      </c>
      <c r="G22" s="130">
        <v>90</v>
      </c>
      <c r="H22" s="131">
        <v>90</v>
      </c>
      <c r="I22" s="132">
        <v>90</v>
      </c>
      <c r="J22" s="102"/>
      <c r="K22" s="104" t="s">
        <v>179</v>
      </c>
      <c r="L22" s="103" t="s">
        <v>180</v>
      </c>
      <c r="M22" s="103" t="s">
        <v>181</v>
      </c>
      <c r="N22" s="130">
        <f t="shared" si="2"/>
        <v>90</v>
      </c>
      <c r="O22" s="131">
        <f t="shared" si="3"/>
        <v>90</v>
      </c>
      <c r="P22" s="132">
        <f t="shared" ref="P22:P23" si="4">I22</f>
        <v>90</v>
      </c>
    </row>
    <row r="23" spans="2:18" ht="16.95" customHeight="1" thickBot="1" x14ac:dyDescent="0.35">
      <c r="B23" s="128" t="s">
        <v>178</v>
      </c>
      <c r="C23" s="139">
        <f>G25/SQRT(G26*D23^2+G27*E23^2+G28*F23^2+2*G29*D23*E23+2*G30*E23*F23+2*G31*D23*F23)</f>
        <v>3.79</v>
      </c>
      <c r="D23" s="144">
        <v>0</v>
      </c>
      <c r="E23" s="145">
        <v>0</v>
      </c>
      <c r="F23" s="146">
        <v>1</v>
      </c>
      <c r="G23" s="138" t="s">
        <v>187</v>
      </c>
      <c r="H23" s="157">
        <f>180/PI()*ACOS(C23*J23/G25^2*(G26*D23*K23+G27*E23*L23+G28*F23*M23+G30*(E23*M23+F23*L23)+G31*(F23*K23+M23*D23)+G29*(D23*L23+K23*E23)))</f>
        <v>19.471220634490674</v>
      </c>
      <c r="I23" s="106"/>
      <c r="J23" s="127">
        <f>N25/SQRT(N26*K23^2+N27*L23^2+N28*M23^2+2*N29*K23*L23+2*N30*L23*M23+2*N31*K23*M23)</f>
        <v>0.89331156689900504</v>
      </c>
      <c r="K23" s="144">
        <v>1</v>
      </c>
      <c r="L23" s="145">
        <v>1</v>
      </c>
      <c r="M23" s="146">
        <v>4</v>
      </c>
      <c r="N23" s="107"/>
      <c r="O23" s="107"/>
      <c r="P23" s="106"/>
    </row>
    <row r="24" spans="2:18" ht="16.95" customHeight="1" x14ac:dyDescent="0.3">
      <c r="B24" s="108" t="s">
        <v>188</v>
      </c>
      <c r="C24" s="133">
        <f>C23*2</f>
        <v>7.58</v>
      </c>
      <c r="D24" s="107"/>
      <c r="E24" s="107"/>
      <c r="F24" s="107"/>
      <c r="G24" s="107"/>
      <c r="H24" s="107"/>
      <c r="I24" s="107"/>
      <c r="J24" s="109" t="s">
        <v>189</v>
      </c>
      <c r="K24" s="107"/>
      <c r="L24" s="107"/>
      <c r="M24" s="107"/>
      <c r="N24" s="107"/>
      <c r="O24" s="107"/>
      <c r="P24" s="106"/>
    </row>
    <row r="25" spans="2:18" ht="16.95" customHeight="1" x14ac:dyDescent="0.3">
      <c r="B25" s="108" t="s">
        <v>189</v>
      </c>
      <c r="C25" s="134">
        <f>360/PI()*ASIN(C27/2/C23)</f>
        <v>15.161819418314861</v>
      </c>
      <c r="D25" s="107"/>
      <c r="E25" s="107"/>
      <c r="F25" s="110" t="s">
        <v>182</v>
      </c>
      <c r="G25" s="111">
        <f>G21*H21*I21*SQRT(1-COS(G22*PI()/180)^2-COS(H22*PI()/180)^2-COS(I22*PI()/180)^2+2*COS(G22*PI()/180)*COS(H22*PI()/180)*COS(I22*PI()/180))</f>
        <v>54.439939000000003</v>
      </c>
      <c r="H25" s="107"/>
      <c r="I25" s="107"/>
      <c r="J25" s="112">
        <f>360/PI()*ASIN(C27/2/J23)</f>
        <v>68.072198779244587</v>
      </c>
      <c r="K25" s="107"/>
      <c r="L25" s="107"/>
      <c r="M25" s="110" t="s">
        <v>182</v>
      </c>
      <c r="N25" s="113">
        <f>G25</f>
        <v>54.439939000000003</v>
      </c>
      <c r="O25" s="107"/>
      <c r="P25" s="106"/>
    </row>
    <row r="26" spans="2:18" ht="16.95" customHeight="1" x14ac:dyDescent="0.3">
      <c r="B26" s="104" t="s">
        <v>200</v>
      </c>
      <c r="C26" s="135">
        <v>12.398</v>
      </c>
      <c r="D26" s="107"/>
      <c r="E26" s="107"/>
      <c r="F26" s="114" t="s">
        <v>190</v>
      </c>
      <c r="G26" s="115">
        <f>(H21*I21*SIN(G22*PI()/180))^2</f>
        <v>206.32736881000002</v>
      </c>
      <c r="H26" s="107"/>
      <c r="I26" s="107"/>
      <c r="J26" s="116" t="s">
        <v>191</v>
      </c>
      <c r="K26" s="107"/>
      <c r="L26" s="107"/>
      <c r="M26" s="114" t="s">
        <v>190</v>
      </c>
      <c r="N26" s="117">
        <f t="shared" ref="N26:N31" si="5">G26</f>
        <v>206.32736881000002</v>
      </c>
      <c r="O26" s="107"/>
      <c r="P26" s="106"/>
    </row>
    <row r="27" spans="2:18" ht="16.95" customHeight="1" thickBot="1" x14ac:dyDescent="0.35">
      <c r="B27" s="136" t="s">
        <v>143</v>
      </c>
      <c r="C27" s="137">
        <f>12.398/C26</f>
        <v>1</v>
      </c>
      <c r="D27" s="107"/>
      <c r="E27" s="107"/>
      <c r="F27" s="114" t="s">
        <v>192</v>
      </c>
      <c r="G27" s="115">
        <f>(G21*I21*SIN(H22*PI()/180))^2</f>
        <v>206.32736881000002</v>
      </c>
      <c r="H27" s="107"/>
      <c r="I27" s="107"/>
      <c r="J27" s="118">
        <f>J25/2-H23</f>
        <v>14.56487875513162</v>
      </c>
      <c r="K27" s="107"/>
      <c r="L27" s="107"/>
      <c r="M27" s="114" t="s">
        <v>193</v>
      </c>
      <c r="N27" s="117">
        <f t="shared" si="5"/>
        <v>206.32736881000002</v>
      </c>
      <c r="O27" s="107"/>
      <c r="P27" s="106"/>
    </row>
    <row r="28" spans="2:18" ht="16.95" customHeight="1" x14ac:dyDescent="0.3">
      <c r="B28" s="100"/>
      <c r="C28" s="107"/>
      <c r="D28" s="107"/>
      <c r="E28" s="107"/>
      <c r="F28" s="114" t="s">
        <v>194</v>
      </c>
      <c r="G28" s="115">
        <f>(G21*H21*SIN(I22*PI()/180))^2</f>
        <v>206.32736881000002</v>
      </c>
      <c r="H28" s="107"/>
      <c r="I28" s="106"/>
      <c r="J28" s="100"/>
      <c r="K28" s="107"/>
      <c r="L28" s="107"/>
      <c r="M28" s="114" t="s">
        <v>194</v>
      </c>
      <c r="N28" s="117">
        <f t="shared" si="5"/>
        <v>206.32736881000002</v>
      </c>
      <c r="O28" s="107"/>
      <c r="P28" s="106"/>
    </row>
    <row r="29" spans="2:18" ht="16.95" customHeight="1" x14ac:dyDescent="0.3">
      <c r="B29" s="100"/>
      <c r="C29" s="107"/>
      <c r="D29" s="107"/>
      <c r="E29" s="107"/>
      <c r="F29" s="114" t="s">
        <v>195</v>
      </c>
      <c r="G29" s="115">
        <f>G21*H21*I21^2*(COS(G22*PI()/180)*COS(H22*PI()/180)-COS(I22*PI()/180))</f>
        <v>-1.2639082855146626E-14</v>
      </c>
      <c r="H29" s="107"/>
      <c r="I29" s="106"/>
      <c r="J29" s="100"/>
      <c r="K29" s="107"/>
      <c r="L29" s="107"/>
      <c r="M29" s="114" t="s">
        <v>195</v>
      </c>
      <c r="N29" s="117">
        <f t="shared" si="5"/>
        <v>-1.2639082855146626E-14</v>
      </c>
      <c r="O29" s="107"/>
      <c r="P29" s="106"/>
    </row>
    <row r="30" spans="2:18" ht="16.95" customHeight="1" x14ac:dyDescent="0.3">
      <c r="B30" s="100"/>
      <c r="C30" s="107"/>
      <c r="D30" s="107"/>
      <c r="E30" s="107"/>
      <c r="F30" s="114" t="s">
        <v>196</v>
      </c>
      <c r="G30" s="115">
        <f>G21^2*H21*I21*(-COS(G22*PI()/180)+COS(H22*PI()/180)*COS(I22*PI()/180))</f>
        <v>-1.2639082855146626E-14</v>
      </c>
      <c r="H30" s="107"/>
      <c r="I30" s="106"/>
      <c r="J30" s="100"/>
      <c r="K30" s="107"/>
      <c r="L30" s="107"/>
      <c r="M30" s="114" t="s">
        <v>197</v>
      </c>
      <c r="N30" s="117">
        <f t="shared" si="5"/>
        <v>-1.2639082855146626E-14</v>
      </c>
      <c r="O30" s="107"/>
      <c r="P30" s="106"/>
    </row>
    <row r="31" spans="2:18" ht="16.95" customHeight="1" thickBot="1" x14ac:dyDescent="0.35">
      <c r="B31" s="119"/>
      <c r="C31" s="120"/>
      <c r="D31" s="120"/>
      <c r="E31" s="120"/>
      <c r="F31" s="121" t="s">
        <v>198</v>
      </c>
      <c r="G31" s="122">
        <f>G21*H21^2*I21*(COS(G22*PI()/180)*COS(I22*PI()/180)-COS(H22*PI()/180))</f>
        <v>-1.2639082855146626E-14</v>
      </c>
      <c r="H31" s="120"/>
      <c r="I31" s="123"/>
      <c r="J31" s="119"/>
      <c r="K31" s="120"/>
      <c r="L31" s="120"/>
      <c r="M31" s="121" t="s">
        <v>199</v>
      </c>
      <c r="N31" s="124">
        <f t="shared" si="5"/>
        <v>-1.2639082855146626E-14</v>
      </c>
      <c r="O31" s="120"/>
      <c r="P31" s="125"/>
    </row>
    <row r="32" spans="2:18" ht="16.95" customHeight="1" x14ac:dyDescent="0.3">
      <c r="B32" s="89"/>
    </row>
    <row r="33" spans="2:18" ht="16.95" customHeight="1" x14ac:dyDescent="0.3">
      <c r="B33" s="89"/>
    </row>
    <row r="34" spans="2:18" ht="16.95" customHeight="1" x14ac:dyDescent="0.25">
      <c r="B34" s="150" t="s">
        <v>204</v>
      </c>
      <c r="C34" s="149" t="s">
        <v>206</v>
      </c>
      <c r="D34" s="149"/>
      <c r="E34" s="149"/>
      <c r="F34" s="149"/>
      <c r="G34" s="149"/>
      <c r="H34" s="149"/>
      <c r="I34" s="149"/>
    </row>
    <row r="35" spans="2:18" ht="16.95" customHeight="1" x14ac:dyDescent="0.3">
      <c r="B35" s="89"/>
      <c r="I35" s="89"/>
    </row>
    <row r="36" spans="2:18" ht="16.95" customHeight="1" x14ac:dyDescent="0.3">
      <c r="B36" s="89"/>
    </row>
    <row r="37" spans="2:18" ht="16.95" customHeight="1" x14ac:dyDescent="0.3">
      <c r="B37" s="89"/>
    </row>
    <row r="38" spans="2:18" ht="16.95" customHeight="1" x14ac:dyDescent="0.3">
      <c r="B38" s="89"/>
      <c r="C38" s="89"/>
      <c r="D38" s="89"/>
      <c r="E38" s="89"/>
      <c r="F38" s="89"/>
      <c r="G38" s="89"/>
      <c r="H38" s="89"/>
      <c r="K38" s="89"/>
      <c r="L38" s="89"/>
      <c r="M38" s="89"/>
      <c r="N38" s="89"/>
      <c r="O38" s="89"/>
      <c r="P38" s="89"/>
      <c r="Q38" s="89"/>
      <c r="R38" s="89"/>
    </row>
    <row r="39" spans="2:18" ht="16.95" customHeight="1" x14ac:dyDescent="0.3">
      <c r="B39" s="89"/>
      <c r="C39" s="89"/>
      <c r="D39" s="89"/>
      <c r="E39" s="89"/>
      <c r="F39" s="89"/>
      <c r="G39" s="89"/>
      <c r="H39" s="89"/>
      <c r="K39" s="89"/>
      <c r="L39" s="89"/>
      <c r="M39" s="89"/>
      <c r="N39" s="89"/>
      <c r="O39" s="89"/>
      <c r="P39" s="89"/>
      <c r="Q39" s="89"/>
      <c r="R39" s="89"/>
    </row>
  </sheetData>
  <mergeCells count="5">
    <mergeCell ref="D5:F5"/>
    <mergeCell ref="K5:M5"/>
    <mergeCell ref="D21:F21"/>
    <mergeCell ref="K21:M21"/>
    <mergeCell ref="C34:I3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Source</vt:lpstr>
      <vt:lpstr>Optic</vt:lpstr>
      <vt:lpstr>Material</vt:lpstr>
      <vt:lpstr>Four-circle X-ray diffraction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 Last</dc:creator>
  <cp:lastModifiedBy>Khan Last</cp:lastModifiedBy>
  <dcterms:created xsi:type="dcterms:W3CDTF">2020-08-24T02:45:37Z</dcterms:created>
  <dcterms:modified xsi:type="dcterms:W3CDTF">2021-11-17T07:56:11Z</dcterms:modified>
</cp:coreProperties>
</file>