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170" yWindow="0" windowWidth="20490" windowHeight="7650" firstSheet="4" activeTab="4"/>
  </bookViews>
  <sheets>
    <sheet name="QUẢN LÝ KHO" sheetId="34" state="hidden" r:id="rId1"/>
    <sheet name="BẮP" sheetId="424" r:id="rId2"/>
    <sheet name="BẮP KHO 3.2" sheetId="426" r:id="rId3"/>
    <sheet name="BILL ĐÃ XUẤT XONG" sheetId="208" r:id="rId4"/>
    <sheet name="ĐIỀU(THÁNG 10.2022)" sheetId="268" r:id="rId5"/>
    <sheet name="ĐIỀU KHO 1.1" sheetId="9" r:id="rId6"/>
    <sheet name="ĐIỀU KHO 1.2" sheetId="5" r:id="rId7"/>
    <sheet name="ĐIỀU KHO 1.3" sheetId="4" r:id="rId8"/>
    <sheet name="ĐIỀU KHO 2.1" sheetId="79" r:id="rId9"/>
    <sheet name="ĐIỀU KHO 2.2" sheetId="80" r:id="rId10"/>
    <sheet name="ĐIỀU KHO 2.3" sheetId="81" r:id="rId11"/>
    <sheet name="ĐIỀU KHO 3.1" sheetId="270" r:id="rId12"/>
    <sheet name="ĐIỀU KHO 3.2" sheetId="271" r:id="rId13"/>
    <sheet name="GREENTEC A6" sheetId="452" r:id="rId14"/>
    <sheet name="8301" sheetId="457" r:id="rId15"/>
    <sheet name="035G" sheetId="282" r:id="rId16"/>
    <sheet name="8903" sheetId="447" r:id="rId17"/>
    <sheet name="GREENTECB4" sheetId="443" r:id="rId18"/>
    <sheet name="6340" sheetId="442" r:id="rId19"/>
    <sheet name="4629" sheetId="428" r:id="rId20"/>
    <sheet name="0470" sheetId="410" r:id="rId21"/>
    <sheet name="7661" sheetId="433" r:id="rId22"/>
    <sheet name="7711" sheetId="440" r:id="rId23"/>
    <sheet name="2430" sheetId="436" r:id="rId24"/>
    <sheet name="9527" sheetId="389" r:id="rId25"/>
    <sheet name="6853" sheetId="279" r:id="rId26"/>
    <sheet name="1026" sheetId="422" r:id="rId27"/>
    <sheet name="9860" sheetId="413" r:id="rId28"/>
    <sheet name="4370B" sheetId="406" r:id="rId29"/>
    <sheet name="4718" sheetId="398" r:id="rId30"/>
    <sheet name="894C" sheetId="381" r:id="rId31"/>
    <sheet name="1770" sheetId="327" r:id="rId32"/>
    <sheet name="4924" sheetId="326" r:id="rId33"/>
    <sheet name="092L" sheetId="301" r:id="rId34"/>
    <sheet name="6811" sheetId="291" r:id="rId35"/>
    <sheet name="0711" sheetId="281" r:id="rId36"/>
    <sheet name="5902" sheetId="280" r:id="rId37"/>
    <sheet name="2801" sheetId="274" r:id="rId38"/>
    <sheet name="9011" sheetId="250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_xlnm._FilterDatabase" localSheetId="1" hidden="1">BẮP!$A$17:$M$49</definedName>
    <definedName name="_xlnm._FilterDatabase" localSheetId="3" hidden="1">'BILL ĐÃ XUẤT XONG'!$A$2:$N$68</definedName>
    <definedName name="_xlnm._FilterDatabase" localSheetId="4" hidden="1">'ĐIỀU(THÁNG 10.2022)'!$A$141:$W$359</definedName>
    <definedName name="_xlnm.Print_Area" localSheetId="1">BẮP!#REF!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70" l="1"/>
  <c r="F14" i="452" l="1"/>
  <c r="H61" i="208" l="1"/>
  <c r="L61" i="208" l="1"/>
  <c r="M61" i="208" l="1"/>
  <c r="P61" i="208"/>
  <c r="O261" i="268"/>
  <c r="K9" i="282" l="1"/>
  <c r="J9" i="282"/>
  <c r="H40" i="270" l="1"/>
  <c r="H46" i="4"/>
  <c r="K13" i="452" l="1"/>
  <c r="F13" i="452"/>
  <c r="J220" i="268" l="1"/>
  <c r="F220" i="268" l="1"/>
  <c r="I220" i="268" l="1"/>
  <c r="H35" i="81"/>
  <c r="L30" i="208" l="1"/>
  <c r="M30" i="208" s="1"/>
  <c r="N219" i="268" l="1"/>
  <c r="M40" i="270" l="1"/>
  <c r="M41" i="270"/>
  <c r="M46" i="4"/>
  <c r="M47" i="4"/>
  <c r="M48" i="4"/>
  <c r="H51" i="4"/>
  <c r="G16" i="424" l="1"/>
  <c r="D16" i="424"/>
  <c r="E16" i="424"/>
  <c r="F16" i="424"/>
  <c r="J8" i="424"/>
  <c r="K8" i="424"/>
  <c r="I8" i="424"/>
  <c r="I49" i="424"/>
  <c r="J49" i="424"/>
  <c r="K49" i="424"/>
  <c r="E49" i="424"/>
  <c r="F49" i="424"/>
  <c r="G49" i="424"/>
  <c r="D49" i="424"/>
  <c r="F8" i="424"/>
  <c r="F10" i="424" s="1"/>
  <c r="F12" i="452" l="1"/>
  <c r="K16" i="452" l="1"/>
  <c r="J16" i="452"/>
  <c r="I12" i="452"/>
  <c r="I13" i="452"/>
  <c r="I14" i="452"/>
  <c r="I15" i="452"/>
  <c r="H16" i="452"/>
  <c r="I16" i="452" l="1"/>
  <c r="L29" i="208"/>
  <c r="M29" i="208" s="1"/>
  <c r="O29" i="208" l="1"/>
  <c r="H7" i="5" l="1"/>
  <c r="H9" i="5"/>
  <c r="H10" i="5"/>
  <c r="H12" i="5"/>
  <c r="H13" i="5"/>
  <c r="H14" i="5"/>
  <c r="H15" i="5"/>
  <c r="H16" i="5"/>
  <c r="H17" i="5"/>
  <c r="H18" i="5"/>
  <c r="H23" i="5"/>
  <c r="H24" i="5"/>
  <c r="H25" i="5"/>
  <c r="H27" i="5"/>
  <c r="H28" i="5"/>
  <c r="H29" i="5"/>
  <c r="H31" i="5"/>
  <c r="H32" i="5"/>
  <c r="H33" i="5"/>
  <c r="H34" i="5"/>
  <c r="H36" i="5"/>
  <c r="H39" i="5"/>
  <c r="H41" i="5"/>
  <c r="H45" i="5"/>
  <c r="H46" i="5"/>
  <c r="H47" i="5"/>
  <c r="H48" i="5"/>
  <c r="F11" i="452" l="1"/>
  <c r="K10" i="452" l="1"/>
  <c r="I10" i="452" l="1"/>
  <c r="F10" i="452"/>
  <c r="H45" i="4" l="1"/>
  <c r="F150" i="268"/>
  <c r="O36" i="270" l="1"/>
  <c r="M37" i="270"/>
  <c r="O37" i="270"/>
  <c r="M38" i="270"/>
  <c r="O38" i="270"/>
  <c r="M39" i="270"/>
  <c r="O39" i="270"/>
  <c r="O40" i="270"/>
  <c r="O41" i="270"/>
  <c r="M45" i="270"/>
  <c r="O45" i="270"/>
  <c r="O46" i="270"/>
  <c r="M46" i="79"/>
  <c r="H46" i="79"/>
  <c r="M45" i="4"/>
  <c r="G51" i="4"/>
  <c r="M51" i="4"/>
  <c r="M44" i="4"/>
  <c r="N129" i="268" l="1"/>
  <c r="O129" i="268"/>
  <c r="P129" i="268"/>
  <c r="Q129" i="268"/>
  <c r="R129" i="268"/>
  <c r="S129" i="268"/>
  <c r="T129" i="268"/>
  <c r="U129" i="268"/>
  <c r="N130" i="268"/>
  <c r="O130" i="268"/>
  <c r="P130" i="268"/>
  <c r="Q130" i="268"/>
  <c r="R130" i="268"/>
  <c r="S130" i="268"/>
  <c r="T130" i="268"/>
  <c r="U130" i="268"/>
  <c r="N131" i="268"/>
  <c r="O131" i="268"/>
  <c r="P131" i="268"/>
  <c r="Q131" i="268"/>
  <c r="R131" i="268"/>
  <c r="S131" i="268"/>
  <c r="T131" i="268"/>
  <c r="U131" i="268"/>
  <c r="N132" i="268"/>
  <c r="O132" i="268"/>
  <c r="P132" i="268"/>
  <c r="Q132" i="268"/>
  <c r="R132" i="268"/>
  <c r="S132" i="268"/>
  <c r="T132" i="268"/>
  <c r="U132" i="268"/>
  <c r="N133" i="268"/>
  <c r="O133" i="268"/>
  <c r="P133" i="268"/>
  <c r="Q133" i="268"/>
  <c r="R133" i="268"/>
  <c r="S133" i="268"/>
  <c r="T133" i="268"/>
  <c r="U133" i="268"/>
  <c r="O128" i="268"/>
  <c r="P128" i="268"/>
  <c r="Q128" i="268"/>
  <c r="R128" i="268"/>
  <c r="S128" i="268"/>
  <c r="T128" i="268"/>
  <c r="U128" i="268"/>
  <c r="N128" i="268"/>
  <c r="D129" i="268"/>
  <c r="E129" i="268"/>
  <c r="F129" i="268"/>
  <c r="G129" i="268"/>
  <c r="H129" i="268"/>
  <c r="I129" i="268"/>
  <c r="J129" i="268"/>
  <c r="K129" i="268"/>
  <c r="D130" i="268"/>
  <c r="E130" i="268"/>
  <c r="F130" i="268"/>
  <c r="G130" i="268"/>
  <c r="H130" i="268"/>
  <c r="I130" i="268"/>
  <c r="J130" i="268"/>
  <c r="K130" i="268"/>
  <c r="D131" i="268"/>
  <c r="E131" i="268"/>
  <c r="F131" i="268"/>
  <c r="G131" i="268"/>
  <c r="H131" i="268"/>
  <c r="I131" i="268"/>
  <c r="J131" i="268"/>
  <c r="K131" i="268"/>
  <c r="D132" i="268"/>
  <c r="E132" i="268"/>
  <c r="F132" i="268"/>
  <c r="G132" i="268"/>
  <c r="H132" i="268"/>
  <c r="I132" i="268"/>
  <c r="J132" i="268"/>
  <c r="K132" i="268"/>
  <c r="D133" i="268"/>
  <c r="E133" i="268"/>
  <c r="F133" i="268"/>
  <c r="G133" i="268"/>
  <c r="H133" i="268"/>
  <c r="I133" i="268"/>
  <c r="J133" i="268"/>
  <c r="K133" i="268"/>
  <c r="E128" i="268"/>
  <c r="F128" i="268"/>
  <c r="G128" i="268"/>
  <c r="H128" i="268"/>
  <c r="I128" i="268"/>
  <c r="J128" i="268"/>
  <c r="K128" i="268"/>
  <c r="D128" i="268"/>
  <c r="V126" i="268"/>
  <c r="U126" i="268"/>
  <c r="T126" i="268"/>
  <c r="S126" i="268"/>
  <c r="R126" i="268"/>
  <c r="Q126" i="268"/>
  <c r="P126" i="268"/>
  <c r="O126" i="268"/>
  <c r="N126" i="268"/>
  <c r="L126" i="268"/>
  <c r="K126" i="268"/>
  <c r="J126" i="268"/>
  <c r="I126" i="268"/>
  <c r="H126" i="268"/>
  <c r="G126" i="268"/>
  <c r="F126" i="268"/>
  <c r="E126" i="268"/>
  <c r="D126" i="268"/>
  <c r="H170" i="208" l="1"/>
  <c r="O170" i="208" s="1"/>
  <c r="L170" i="208"/>
  <c r="M170" i="208" l="1"/>
  <c r="H146" i="208" l="1"/>
  <c r="O146" i="208" s="1"/>
  <c r="L146" i="208"/>
  <c r="M146" i="208" l="1"/>
  <c r="K9" i="452" l="1"/>
  <c r="L94" i="208" l="1"/>
  <c r="H94" i="208"/>
  <c r="O94" i="208" s="1"/>
  <c r="H93" i="208"/>
  <c r="L93" i="208"/>
  <c r="H92" i="208"/>
  <c r="L92" i="208"/>
  <c r="M93" i="208" l="1"/>
  <c r="M94" i="208"/>
  <c r="M92" i="208"/>
  <c r="H169" i="208" l="1"/>
  <c r="L169" i="208"/>
  <c r="O169" i="208"/>
  <c r="M169" i="208" l="1"/>
  <c r="K7" i="457" l="1"/>
  <c r="K8" i="452" l="1"/>
  <c r="K6" i="457" l="1"/>
  <c r="J14" i="457" l="1"/>
  <c r="H14" i="457"/>
  <c r="L36" i="270" s="1"/>
  <c r="M36" i="270" s="1"/>
  <c r="I13" i="457"/>
  <c r="I12" i="457"/>
  <c r="I11" i="457"/>
  <c r="I10" i="457"/>
  <c r="I9" i="457"/>
  <c r="I7" i="457"/>
  <c r="K14" i="457"/>
  <c r="I6" i="457"/>
  <c r="F7" i="457" s="1"/>
  <c r="F8" i="457" l="1"/>
  <c r="I8" i="457" s="1"/>
  <c r="I14" i="457"/>
  <c r="M14" i="457"/>
  <c r="K10" i="282"/>
  <c r="J15" i="282" l="1"/>
  <c r="K13" i="250" l="1"/>
  <c r="J13" i="250"/>
  <c r="H13" i="250"/>
  <c r="I11" i="250"/>
  <c r="I12" i="250"/>
  <c r="I10" i="250"/>
  <c r="M13" i="250" l="1"/>
  <c r="K7" i="452" l="1"/>
  <c r="F7" i="452"/>
  <c r="F8" i="452" s="1"/>
  <c r="F9" i="452" s="1"/>
  <c r="H28" i="208" l="1"/>
  <c r="L28" i="208"/>
  <c r="M28" i="208" s="1"/>
  <c r="O28" i="208" l="1"/>
  <c r="H60" i="208" l="1"/>
  <c r="L60" i="208"/>
  <c r="P60" i="208" l="1"/>
  <c r="M60" i="208"/>
  <c r="H168" i="208"/>
  <c r="O168" i="208" s="1"/>
  <c r="L168" i="208"/>
  <c r="M168" i="208" s="1"/>
  <c r="I11" i="452" l="1"/>
  <c r="I9" i="452"/>
  <c r="I8" i="452"/>
  <c r="I6" i="452"/>
  <c r="I7" i="452" s="1"/>
  <c r="L23" i="270" l="1"/>
  <c r="M16" i="452"/>
  <c r="H167" i="208" l="1"/>
  <c r="O167" i="208" s="1"/>
  <c r="L167" i="208"/>
  <c r="M167" i="208" l="1"/>
  <c r="H44" i="4" l="1"/>
  <c r="H109" i="208" l="1"/>
  <c r="O109" i="208" s="1"/>
  <c r="L109" i="208"/>
  <c r="M109" i="208" s="1"/>
  <c r="H39" i="9" l="1"/>
  <c r="H43" i="4" l="1"/>
  <c r="H34" i="81" l="1"/>
  <c r="H39" i="270" l="1"/>
  <c r="H42" i="4" l="1"/>
  <c r="V118" i="268" l="1"/>
  <c r="U118" i="268"/>
  <c r="T118" i="268"/>
  <c r="S118" i="268"/>
  <c r="R118" i="268"/>
  <c r="Q118" i="268"/>
  <c r="P118" i="268"/>
  <c r="O118" i="268"/>
  <c r="N118" i="268"/>
  <c r="L118" i="268"/>
  <c r="K118" i="268"/>
  <c r="J118" i="268"/>
  <c r="I118" i="268"/>
  <c r="H118" i="268"/>
  <c r="G118" i="268"/>
  <c r="F118" i="268"/>
  <c r="E118" i="268"/>
  <c r="D118" i="268"/>
  <c r="D134" i="268" l="1"/>
  <c r="K8" i="447" l="1"/>
  <c r="H27" i="208" l="1"/>
  <c r="L27" i="208" l="1"/>
  <c r="O27" i="208" s="1"/>
  <c r="M27" i="208" l="1"/>
  <c r="H38" i="270" l="1"/>
  <c r="K7" i="447" l="1"/>
  <c r="O34" i="270" l="1"/>
  <c r="H91" i="208" l="1"/>
  <c r="L91" i="208"/>
  <c r="M91" i="208" s="1"/>
  <c r="P91" i="208" l="1"/>
  <c r="H38" i="9" l="1"/>
  <c r="H90" i="208" l="1"/>
  <c r="L90" i="208"/>
  <c r="P90" i="208" l="1"/>
  <c r="M90" i="208"/>
  <c r="H41" i="4" l="1"/>
  <c r="H37" i="270" l="1"/>
  <c r="M42" i="4" l="1"/>
  <c r="M43" i="4"/>
  <c r="M49" i="4"/>
  <c r="K9" i="443" l="1"/>
  <c r="K8" i="443" l="1"/>
  <c r="H36" i="270" l="1"/>
  <c r="K6" i="447" l="1"/>
  <c r="H44" i="80" l="1"/>
  <c r="K14" i="447" l="1"/>
  <c r="J14" i="447"/>
  <c r="H14" i="447"/>
  <c r="I14" i="447" s="1"/>
  <c r="I13" i="447"/>
  <c r="I12" i="447"/>
  <c r="I11" i="447"/>
  <c r="I10" i="447"/>
  <c r="I9" i="447"/>
  <c r="I6" i="447"/>
  <c r="F7" i="447" s="1"/>
  <c r="I7" i="447" s="1"/>
  <c r="F8" i="447" l="1"/>
  <c r="I8" i="447" s="1"/>
  <c r="L8" i="4"/>
  <c r="M14" i="447"/>
  <c r="M41" i="4" l="1"/>
  <c r="M50" i="4"/>
  <c r="H41" i="79" l="1"/>
  <c r="M41" i="79" l="1"/>
  <c r="L142" i="268" l="1"/>
  <c r="L143" i="268"/>
  <c r="F134" i="268" l="1"/>
  <c r="I134" i="268"/>
  <c r="E134" i="268"/>
  <c r="U134" i="268"/>
  <c r="K134" i="268"/>
  <c r="O134" i="268"/>
  <c r="T134" i="268"/>
  <c r="S134" i="268"/>
  <c r="P134" i="268"/>
  <c r="Q134" i="268"/>
  <c r="R134" i="268"/>
  <c r="G134" i="268"/>
  <c r="H134" i="268"/>
  <c r="J134" i="268"/>
  <c r="N134" i="268"/>
  <c r="F13" i="442" l="1"/>
  <c r="I13" i="442" s="1"/>
  <c r="K7" i="443" l="1"/>
  <c r="K11" i="440" l="1"/>
  <c r="K6" i="443"/>
  <c r="H166" i="208" l="1"/>
  <c r="L166" i="208"/>
  <c r="H165" i="208"/>
  <c r="O165" i="208" s="1"/>
  <c r="L165" i="208"/>
  <c r="M166" i="208" l="1"/>
  <c r="O166" i="208"/>
  <c r="M165" i="208"/>
  <c r="J14" i="443"/>
  <c r="H14" i="443"/>
  <c r="L33" i="4" s="1"/>
  <c r="I13" i="443"/>
  <c r="I12" i="443"/>
  <c r="I11" i="443"/>
  <c r="I10" i="443"/>
  <c r="K14" i="443"/>
  <c r="I6" i="443"/>
  <c r="F7" i="443" s="1"/>
  <c r="I7" i="443" s="1"/>
  <c r="F8" i="443" l="1"/>
  <c r="I8" i="443" s="1"/>
  <c r="I14" i="443"/>
  <c r="M14" i="443"/>
  <c r="K10" i="440"/>
  <c r="F9" i="443" l="1"/>
  <c r="I9" i="443" s="1"/>
  <c r="K9" i="440"/>
  <c r="H26" i="208" l="1"/>
  <c r="O26" i="208" s="1"/>
  <c r="M26" i="208" l="1"/>
  <c r="K8" i="440"/>
  <c r="K17" i="442" l="1"/>
  <c r="J17" i="442"/>
  <c r="H17" i="442"/>
  <c r="I14" i="442"/>
  <c r="I15" i="442"/>
  <c r="I16" i="442"/>
  <c r="I12" i="442"/>
  <c r="O40" i="79"/>
  <c r="H40" i="79"/>
  <c r="I6" i="442"/>
  <c r="F7" i="442" s="1"/>
  <c r="I7" i="442" s="1"/>
  <c r="F8" i="442" s="1"/>
  <c r="I8" i="442" s="1"/>
  <c r="F9" i="442" s="1"/>
  <c r="I9" i="442" s="1"/>
  <c r="K6" i="442"/>
  <c r="K7" i="442"/>
  <c r="I10" i="442"/>
  <c r="H11" i="442"/>
  <c r="I11" i="442" s="1"/>
  <c r="J11" i="442"/>
  <c r="K11" i="442"/>
  <c r="J18" i="442" l="1"/>
  <c r="M11" i="442"/>
  <c r="K18" i="442"/>
  <c r="H18" i="442"/>
  <c r="L40" i="79" s="1"/>
  <c r="M40" i="79" s="1"/>
  <c r="I18" i="442" s="1"/>
  <c r="M17" i="442"/>
  <c r="I17" i="442"/>
  <c r="M18" i="442" l="1"/>
  <c r="I17" i="433"/>
  <c r="K15" i="433" l="1"/>
  <c r="I15" i="433"/>
  <c r="F16" i="433" s="1"/>
  <c r="I16" i="433" s="1"/>
  <c r="J13" i="440" l="1"/>
  <c r="H13" i="440"/>
  <c r="L33" i="5" s="1"/>
  <c r="I12" i="440"/>
  <c r="K13" i="440"/>
  <c r="I6" i="440"/>
  <c r="K18" i="433"/>
  <c r="J18" i="433"/>
  <c r="J19" i="433" s="1"/>
  <c r="H18" i="433"/>
  <c r="J14" i="433"/>
  <c r="H14" i="433"/>
  <c r="I14" i="433" s="1"/>
  <c r="F7" i="440" l="1"/>
  <c r="I7" i="440" s="1"/>
  <c r="F8" i="440" s="1"/>
  <c r="I8" i="440" s="1"/>
  <c r="F9" i="440" s="1"/>
  <c r="I9" i="440" s="1"/>
  <c r="F10" i="440" s="1"/>
  <c r="I10" i="440" s="1"/>
  <c r="F11" i="440" s="1"/>
  <c r="I11" i="440" s="1"/>
  <c r="M18" i="433"/>
  <c r="I18" i="433"/>
  <c r="H19" i="433"/>
  <c r="M13" i="440"/>
  <c r="I13" i="440"/>
  <c r="L32" i="5" l="1"/>
  <c r="I19" i="433"/>
  <c r="H39" i="79" l="1"/>
  <c r="M39" i="79" l="1"/>
  <c r="O35" i="270" l="1"/>
  <c r="H39" i="4" l="1"/>
  <c r="L59" i="208" l="1"/>
  <c r="M59" i="208" s="1"/>
  <c r="P59" i="208" l="1"/>
  <c r="I13" i="433" l="1"/>
  <c r="K10" i="433"/>
  <c r="M44" i="80" l="1"/>
  <c r="M45" i="80"/>
  <c r="M46" i="80"/>
  <c r="M46" i="5"/>
  <c r="M47" i="5"/>
  <c r="M48" i="5"/>
  <c r="M34" i="81"/>
  <c r="M35" i="81"/>
  <c r="M36" i="81"/>
  <c r="M37" i="81"/>
  <c r="M38" i="81"/>
  <c r="M39" i="81"/>
  <c r="M40" i="81"/>
  <c r="M41" i="81"/>
  <c r="M42" i="81"/>
  <c r="K9" i="433" l="1"/>
  <c r="L89" i="208" l="1"/>
  <c r="M89" i="208" s="1"/>
  <c r="H126" i="208" l="1"/>
  <c r="L126" i="208"/>
  <c r="M126" i="208" l="1"/>
  <c r="O126" i="208"/>
  <c r="H58" i="208" l="1"/>
  <c r="L58" i="208"/>
  <c r="M58" i="208" l="1"/>
  <c r="P58" i="208"/>
  <c r="K8" i="433"/>
  <c r="L88" i="208" l="1"/>
  <c r="M88" i="208" s="1"/>
  <c r="M39" i="4" l="1"/>
  <c r="M40" i="4"/>
  <c r="I6" i="436" l="1"/>
  <c r="F7" i="436" s="1"/>
  <c r="I7" i="436" s="1"/>
  <c r="K6" i="436"/>
  <c r="I8" i="436"/>
  <c r="I9" i="436"/>
  <c r="H10" i="436"/>
  <c r="I10" i="436"/>
  <c r="J10" i="436"/>
  <c r="K10" i="436"/>
  <c r="L45" i="5"/>
  <c r="M10" i="436" l="1"/>
  <c r="M45" i="5"/>
  <c r="P45" i="5"/>
  <c r="H199" i="208" l="1"/>
  <c r="O199" i="208" s="1"/>
  <c r="L199" i="208"/>
  <c r="H145" i="208"/>
  <c r="L145" i="208"/>
  <c r="H125" i="208"/>
  <c r="O125" i="208" s="1"/>
  <c r="L125" i="208"/>
  <c r="H108" i="208"/>
  <c r="O108" i="208" s="1"/>
  <c r="L108" i="208"/>
  <c r="H107" i="208"/>
  <c r="O107" i="208" s="1"/>
  <c r="L107" i="208"/>
  <c r="H87" i="208"/>
  <c r="L87" i="208"/>
  <c r="H12" i="410"/>
  <c r="K12" i="410"/>
  <c r="J12" i="410"/>
  <c r="I9" i="410"/>
  <c r="H57" i="208"/>
  <c r="L57" i="208"/>
  <c r="L25" i="208"/>
  <c r="H25" i="208"/>
  <c r="I12" i="410" l="1"/>
  <c r="M12" i="410"/>
  <c r="F10" i="410"/>
  <c r="I10" i="410" s="1"/>
  <c r="I11" i="410" s="1"/>
  <c r="M145" i="208"/>
  <c r="M199" i="208"/>
  <c r="O145" i="208"/>
  <c r="M125" i="208"/>
  <c r="M108" i="208"/>
  <c r="M107" i="208"/>
  <c r="M87" i="208"/>
  <c r="P87" i="208"/>
  <c r="M57" i="208"/>
  <c r="M67" i="208" s="1"/>
  <c r="P57" i="208"/>
  <c r="O25" i="208"/>
  <c r="M25" i="208"/>
  <c r="H164" i="208" l="1"/>
  <c r="O164" i="208" s="1"/>
  <c r="L164" i="208"/>
  <c r="M164" i="208" l="1"/>
  <c r="K7" i="433"/>
  <c r="L23" i="208" l="1"/>
  <c r="H23" i="208"/>
  <c r="O23" i="208" l="1"/>
  <c r="M23" i="208"/>
  <c r="K6" i="433"/>
  <c r="K14" i="433" s="1"/>
  <c r="M14" i="433" l="1"/>
  <c r="K19" i="433"/>
  <c r="M19" i="433" s="1"/>
  <c r="I6" i="433"/>
  <c r="F7" i="433" l="1"/>
  <c r="I7" i="433" s="1"/>
  <c r="H106" i="208"/>
  <c r="O106" i="208" s="1"/>
  <c r="L106" i="208"/>
  <c r="F8" i="433" l="1"/>
  <c r="I8" i="433" s="1"/>
  <c r="F9" i="433" s="1"/>
  <c r="I9" i="433" s="1"/>
  <c r="F10" i="433" s="1"/>
  <c r="I10" i="433" s="1"/>
  <c r="F11" i="433" s="1"/>
  <c r="I11" i="433" s="1"/>
  <c r="F12" i="433" s="1"/>
  <c r="I12" i="433" s="1"/>
  <c r="M106" i="208"/>
  <c r="H105" i="208"/>
  <c r="O105" i="208" s="1"/>
  <c r="L105" i="208"/>
  <c r="M105" i="208" l="1"/>
  <c r="E8" i="424"/>
  <c r="D8" i="424"/>
  <c r="L6" i="424"/>
  <c r="K6" i="424"/>
  <c r="J6" i="424"/>
  <c r="I6" i="424"/>
  <c r="G6" i="424"/>
  <c r="F6" i="424"/>
  <c r="E6" i="424"/>
  <c r="D6" i="424"/>
  <c r="V102" i="268" l="1"/>
  <c r="U102" i="268"/>
  <c r="T102" i="268"/>
  <c r="S102" i="268"/>
  <c r="R102" i="268"/>
  <c r="Q102" i="268"/>
  <c r="P102" i="268"/>
  <c r="O102" i="268"/>
  <c r="N102" i="268"/>
  <c r="L102" i="268"/>
  <c r="K102" i="268"/>
  <c r="J102" i="268"/>
  <c r="I102" i="268"/>
  <c r="H102" i="268"/>
  <c r="G102" i="268"/>
  <c r="F102" i="268"/>
  <c r="E102" i="268"/>
  <c r="D102" i="268"/>
  <c r="H9" i="426" l="1"/>
  <c r="H6" i="426" l="1"/>
  <c r="H8" i="426" l="1"/>
  <c r="M8" i="426" l="1"/>
  <c r="H144" i="208" l="1"/>
  <c r="L144" i="208"/>
  <c r="M144" i="208" l="1"/>
  <c r="O144" i="208"/>
  <c r="H7" i="426" l="1"/>
  <c r="M27" i="270" l="1"/>
  <c r="M30" i="270"/>
  <c r="M31" i="270"/>
  <c r="M32" i="270"/>
  <c r="M33" i="270"/>
  <c r="M34" i="270"/>
  <c r="M35" i="270"/>
  <c r="M24" i="81"/>
  <c r="M25" i="81"/>
  <c r="M27" i="81"/>
  <c r="M29" i="81"/>
  <c r="M30" i="81"/>
  <c r="M31" i="81"/>
  <c r="M33" i="81"/>
  <c r="M37" i="80"/>
  <c r="M42" i="80"/>
  <c r="M28" i="79"/>
  <c r="M29" i="79"/>
  <c r="M30" i="79"/>
  <c r="M31" i="79"/>
  <c r="M33" i="79"/>
  <c r="M34" i="79"/>
  <c r="M35" i="79"/>
  <c r="M36" i="79"/>
  <c r="M37" i="79"/>
  <c r="M38" i="79"/>
  <c r="M45" i="79"/>
  <c r="M35" i="5"/>
  <c r="M37" i="5"/>
  <c r="M38" i="5"/>
  <c r="M40" i="5"/>
  <c r="M42" i="5"/>
  <c r="M44" i="5"/>
  <c r="M49" i="5"/>
  <c r="M55" i="5"/>
  <c r="M35" i="9"/>
  <c r="M36" i="9"/>
  <c r="M37" i="9"/>
  <c r="M34" i="4"/>
  <c r="M36" i="4"/>
  <c r="O44" i="5" l="1"/>
  <c r="I10" i="428" l="1"/>
  <c r="I11" i="428"/>
  <c r="I12" i="428"/>
  <c r="I9" i="428"/>
  <c r="K13" i="428"/>
  <c r="J13" i="428"/>
  <c r="H13" i="428"/>
  <c r="I13" i="428" s="1"/>
  <c r="I6" i="428" l="1"/>
  <c r="I7" i="428"/>
  <c r="H8" i="428"/>
  <c r="J8" i="428"/>
  <c r="J14" i="428" s="1"/>
  <c r="K8" i="428"/>
  <c r="K14" i="428" s="1"/>
  <c r="I8" i="428" l="1"/>
  <c r="H14" i="428"/>
  <c r="L43" i="5" s="1"/>
  <c r="M43" i="5" s="1"/>
  <c r="I14" i="428" s="1"/>
  <c r="M8" i="428"/>
  <c r="L198" i="208" l="1"/>
  <c r="M198" i="208" s="1"/>
  <c r="O198" i="208"/>
  <c r="H38" i="4" l="1"/>
  <c r="M38" i="4" s="1"/>
  <c r="H37" i="4"/>
  <c r="M37" i="4" s="1"/>
  <c r="O38" i="4" l="1"/>
  <c r="O37" i="4"/>
  <c r="O36" i="4" l="1"/>
  <c r="O33" i="270" l="1"/>
  <c r="H34" i="9" l="1"/>
  <c r="O38" i="9" l="1"/>
  <c r="O39" i="9"/>
  <c r="O40" i="9"/>
  <c r="O41" i="9"/>
  <c r="O42" i="9"/>
  <c r="O34" i="9"/>
  <c r="O35" i="9"/>
  <c r="M34" i="9"/>
  <c r="H43" i="80" l="1"/>
  <c r="M43" i="80" s="1"/>
  <c r="O43" i="80" l="1"/>
  <c r="H35" i="4"/>
  <c r="M35" i="4" s="1"/>
  <c r="O35" i="4" l="1"/>
  <c r="H29" i="270" l="1"/>
  <c r="M29" i="270" s="1"/>
  <c r="O29" i="270" l="1"/>
  <c r="K13" i="426"/>
  <c r="J13" i="426"/>
  <c r="I13" i="426"/>
  <c r="G13" i="426"/>
  <c r="O12" i="426"/>
  <c r="M12" i="426"/>
  <c r="L13" i="426"/>
  <c r="O11" i="426"/>
  <c r="O10" i="426"/>
  <c r="M10" i="426"/>
  <c r="O9" i="426"/>
  <c r="M9" i="426"/>
  <c r="O8" i="426"/>
  <c r="M7" i="426"/>
  <c r="O6" i="426"/>
  <c r="H13" i="426"/>
  <c r="M2" i="426"/>
  <c r="M11" i="426" l="1"/>
  <c r="M6" i="426"/>
  <c r="O7" i="426"/>
  <c r="O13" i="426" l="1"/>
  <c r="M13" i="426"/>
  <c r="K14" i="389" l="1"/>
  <c r="K18" i="389" l="1"/>
  <c r="J18" i="389"/>
  <c r="H28" i="270" l="1"/>
  <c r="M28" i="270" s="1"/>
  <c r="O33" i="81"/>
  <c r="O34" i="4"/>
  <c r="O28" i="270" l="1"/>
  <c r="H32" i="81"/>
  <c r="M32" i="81" s="1"/>
  <c r="O32" i="81"/>
  <c r="H18" i="389" l="1"/>
  <c r="I18" i="389" s="1"/>
  <c r="I15" i="389"/>
  <c r="I16" i="389"/>
  <c r="I17" i="389"/>
  <c r="I13" i="389"/>
  <c r="F14" i="389" s="1"/>
  <c r="I14" i="389" s="1"/>
  <c r="H32" i="79" l="1"/>
  <c r="M32" i="79" s="1"/>
  <c r="O32" i="79" l="1"/>
  <c r="G44" i="424"/>
  <c r="O29" i="81" l="1"/>
  <c r="H41" i="80" l="1"/>
  <c r="M41" i="80" s="1"/>
  <c r="O41" i="80" l="1"/>
  <c r="D10" i="424"/>
  <c r="J10" i="424"/>
  <c r="E12" i="424" s="1"/>
  <c r="L48" i="424"/>
  <c r="G48" i="424"/>
  <c r="L47" i="424"/>
  <c r="G47" i="424"/>
  <c r="L46" i="424"/>
  <c r="G46" i="424"/>
  <c r="L45" i="424"/>
  <c r="G45" i="424"/>
  <c r="L44" i="424"/>
  <c r="L43" i="424"/>
  <c r="G43" i="424"/>
  <c r="L42" i="424"/>
  <c r="G42" i="424"/>
  <c r="L41" i="424"/>
  <c r="G41" i="424"/>
  <c r="L40" i="424"/>
  <c r="G40" i="424"/>
  <c r="L39" i="424"/>
  <c r="G39" i="424"/>
  <c r="L38" i="424"/>
  <c r="G38" i="424"/>
  <c r="L37" i="424"/>
  <c r="G37" i="424"/>
  <c r="L36" i="424"/>
  <c r="G36" i="424"/>
  <c r="L35" i="424"/>
  <c r="G35" i="424"/>
  <c r="L34" i="424"/>
  <c r="G34" i="424"/>
  <c r="L33" i="424"/>
  <c r="G33" i="424"/>
  <c r="L32" i="424"/>
  <c r="G32" i="424"/>
  <c r="G31" i="424"/>
  <c r="L30" i="424"/>
  <c r="G30" i="424"/>
  <c r="L29" i="424"/>
  <c r="G29" i="424"/>
  <c r="L28" i="424"/>
  <c r="G28" i="424"/>
  <c r="L27" i="424"/>
  <c r="G27" i="424"/>
  <c r="L26" i="424"/>
  <c r="G26" i="424"/>
  <c r="L25" i="424"/>
  <c r="G25" i="424"/>
  <c r="L24" i="424"/>
  <c r="G24" i="424"/>
  <c r="L23" i="424"/>
  <c r="G23" i="424"/>
  <c r="L22" i="424"/>
  <c r="G22" i="424"/>
  <c r="L21" i="424"/>
  <c r="G21" i="424"/>
  <c r="L20" i="424"/>
  <c r="G20" i="424"/>
  <c r="L19" i="424"/>
  <c r="G19" i="424"/>
  <c r="L18" i="424"/>
  <c r="G18" i="424"/>
  <c r="I10" i="424"/>
  <c r="D12" i="424" s="1"/>
  <c r="E10" i="424"/>
  <c r="L49" i="424" l="1"/>
  <c r="L8" i="424"/>
  <c r="G8" i="424"/>
  <c r="G10" i="424" s="1"/>
  <c r="K10" i="424"/>
  <c r="F12" i="424" s="1"/>
  <c r="L31" i="424"/>
  <c r="K16" i="424"/>
  <c r="I16" i="424"/>
  <c r="L10" i="424" l="1"/>
  <c r="G12" i="424" s="1"/>
  <c r="J16" i="424"/>
  <c r="L16" i="424" s="1"/>
  <c r="H28" i="81" l="1"/>
  <c r="M28" i="81" s="1"/>
  <c r="O28" i="81" l="1"/>
  <c r="H26" i="81"/>
  <c r="O26" i="81" s="1"/>
  <c r="P40" i="5" l="1"/>
  <c r="P42" i="5"/>
  <c r="O36" i="9" l="1"/>
  <c r="M41" i="5" l="1"/>
  <c r="P41" i="5" l="1"/>
  <c r="M47" i="80" l="1"/>
  <c r="M48" i="80"/>
  <c r="H40" i="80" l="1"/>
  <c r="M40" i="80" s="1"/>
  <c r="O40" i="80" l="1"/>
  <c r="O37" i="80"/>
  <c r="O47" i="80"/>
  <c r="M6" i="271" l="1"/>
  <c r="H39" i="80" l="1"/>
  <c r="M39" i="80" s="1"/>
  <c r="P35" i="5" l="1"/>
  <c r="P37" i="5"/>
  <c r="P38" i="5"/>
  <c r="P49" i="5"/>
  <c r="H86" i="208" l="1"/>
  <c r="L86" i="208"/>
  <c r="M86" i="208" l="1"/>
  <c r="P86" i="208"/>
  <c r="K10" i="279"/>
  <c r="J17" i="279"/>
  <c r="K17" i="279"/>
  <c r="I14" i="279"/>
  <c r="I15" i="279"/>
  <c r="I16" i="279"/>
  <c r="I13" i="279"/>
  <c r="H17" i="279"/>
  <c r="V240" i="268" l="1"/>
  <c r="H38" i="80"/>
  <c r="M38" i="80" s="1"/>
  <c r="O38" i="80" l="1"/>
  <c r="P36" i="5" l="1"/>
  <c r="M36" i="5"/>
  <c r="H143" i="208"/>
  <c r="O143" i="208" s="1"/>
  <c r="L143" i="208"/>
  <c r="M143" i="208" l="1"/>
  <c r="K42" i="268" l="1"/>
  <c r="M38" i="9" l="1"/>
  <c r="M39" i="9"/>
  <c r="M40" i="9"/>
  <c r="M41" i="9"/>
  <c r="M42" i="9"/>
  <c r="M43" i="9"/>
  <c r="M34" i="5" l="1"/>
  <c r="P34" i="5" l="1"/>
  <c r="K6" i="422"/>
  <c r="J14" i="422" l="1"/>
  <c r="H14" i="422"/>
  <c r="I14" i="422" s="1"/>
  <c r="I13" i="422"/>
  <c r="I12" i="422"/>
  <c r="I11" i="422"/>
  <c r="I10" i="422"/>
  <c r="I9" i="422"/>
  <c r="I8" i="422"/>
  <c r="I7" i="422"/>
  <c r="K14" i="422"/>
  <c r="I6" i="422"/>
  <c r="L10" i="80" l="1"/>
  <c r="M14" i="422"/>
  <c r="H55" i="208" l="1"/>
  <c r="L55" i="208"/>
  <c r="P55" i="208" l="1"/>
  <c r="M55" i="208"/>
  <c r="I7" i="410" l="1"/>
  <c r="H32" i="9" l="1"/>
  <c r="O32" i="9" s="1"/>
  <c r="H33" i="9" l="1"/>
  <c r="O33" i="9" s="1"/>
  <c r="H124" i="208" l="1"/>
  <c r="L124" i="208"/>
  <c r="M124" i="208" l="1"/>
  <c r="O124" i="208"/>
  <c r="H195" i="208" l="1"/>
  <c r="L195" i="208"/>
  <c r="H142" i="208"/>
  <c r="O142" i="208" s="1"/>
  <c r="H123" i="208"/>
  <c r="O123" i="208" s="1"/>
  <c r="H122" i="208"/>
  <c r="O122" i="208" s="1"/>
  <c r="H162" i="208"/>
  <c r="O162" i="208" s="1"/>
  <c r="M195" i="208" l="1"/>
  <c r="O195" i="208"/>
  <c r="H121" i="208"/>
  <c r="O121" i="208" s="1"/>
  <c r="H54" i="208"/>
  <c r="H194" i="208"/>
  <c r="O194" i="208" s="1"/>
  <c r="H193" i="208"/>
  <c r="O193" i="208" s="1"/>
  <c r="H22" i="208"/>
  <c r="H21" i="208"/>
  <c r="H20" i="208"/>
  <c r="H85" i="208"/>
  <c r="H161" i="208"/>
  <c r="O161" i="208" s="1"/>
  <c r="H84" i="208"/>
  <c r="H53" i="208" l="1"/>
  <c r="L53" i="208"/>
  <c r="M53" i="208" l="1"/>
  <c r="P53" i="208"/>
  <c r="H192" i="208" l="1"/>
  <c r="O192" i="208" s="1"/>
  <c r="L192" i="208"/>
  <c r="M192" i="208" l="1"/>
  <c r="H31" i="9" l="1"/>
  <c r="O31" i="9" s="1"/>
  <c r="L19" i="208" l="1"/>
  <c r="H19" i="208"/>
  <c r="O19" i="208" l="1"/>
  <c r="M19" i="208"/>
  <c r="L160" i="208" l="1"/>
  <c r="H160" i="208" l="1"/>
  <c r="M160" i="208" s="1"/>
  <c r="O160" i="208" l="1"/>
  <c r="H52" i="208" l="1"/>
  <c r="H159" i="208" l="1"/>
  <c r="O159" i="208" s="1"/>
  <c r="L159" i="208" l="1"/>
  <c r="M159" i="208" s="1"/>
  <c r="K7" i="413" l="1"/>
  <c r="K6" i="413" l="1"/>
  <c r="L83" i="208" l="1"/>
  <c r="M83" i="208" s="1"/>
  <c r="P83" i="208" l="1"/>
  <c r="J14" i="413" l="1"/>
  <c r="H14" i="413"/>
  <c r="I13" i="413"/>
  <c r="I12" i="413"/>
  <c r="I11" i="413"/>
  <c r="I10" i="413"/>
  <c r="I9" i="413"/>
  <c r="I8" i="413"/>
  <c r="K14" i="413"/>
  <c r="I6" i="413"/>
  <c r="F7" i="413" s="1"/>
  <c r="I7" i="413" s="1"/>
  <c r="I14" i="413" l="1"/>
  <c r="L27" i="5"/>
  <c r="M14" i="413"/>
  <c r="K8" i="406" l="1"/>
  <c r="K7" i="406" l="1"/>
  <c r="K6" i="410" l="1"/>
  <c r="H30" i="9" l="1"/>
  <c r="K8" i="410" l="1"/>
  <c r="K13" i="410" s="1"/>
  <c r="J8" i="410"/>
  <c r="J13" i="410" s="1"/>
  <c r="H8" i="410"/>
  <c r="I6" i="410"/>
  <c r="H13" i="410" l="1"/>
  <c r="M8" i="410"/>
  <c r="I8" i="410"/>
  <c r="L51" i="208"/>
  <c r="H190" i="208"/>
  <c r="O190" i="208" s="1"/>
  <c r="H51" i="208"/>
  <c r="M13" i="410" l="1"/>
  <c r="I13" i="410"/>
  <c r="L26" i="5"/>
  <c r="M51" i="208"/>
  <c r="P51" i="208"/>
  <c r="P288" i="268" l="1"/>
  <c r="V88" i="268"/>
  <c r="L93" i="268"/>
  <c r="L92" i="268"/>
  <c r="N94" i="268"/>
  <c r="K94" i="268"/>
  <c r="J94" i="268"/>
  <c r="L91" i="268"/>
  <c r="I94" i="268" l="1"/>
  <c r="K6" i="406" l="1"/>
  <c r="H82" i="208" l="1"/>
  <c r="L82" i="208"/>
  <c r="P82" i="208" l="1"/>
  <c r="M82" i="208"/>
  <c r="H50" i="208"/>
  <c r="L50" i="208"/>
  <c r="M50" i="208" l="1"/>
  <c r="P50" i="208"/>
  <c r="H26" i="270"/>
  <c r="O26" i="270" s="1"/>
  <c r="H23" i="81" l="1"/>
  <c r="K14" i="406" l="1"/>
  <c r="J14" i="406"/>
  <c r="H14" i="406"/>
  <c r="I13" i="406"/>
  <c r="I12" i="406"/>
  <c r="I11" i="406"/>
  <c r="I10" i="406"/>
  <c r="I9" i="406"/>
  <c r="I6" i="406"/>
  <c r="F7" i="406" s="1"/>
  <c r="I7" i="406" s="1"/>
  <c r="F8" i="406" s="1"/>
  <c r="I8" i="406" s="1"/>
  <c r="I14" i="406" l="1"/>
  <c r="L26" i="79"/>
  <c r="M14" i="406"/>
  <c r="H188" i="208" l="1"/>
  <c r="O188" i="208" s="1"/>
  <c r="L188" i="208"/>
  <c r="M188" i="208" l="1"/>
  <c r="H79" i="208" l="1"/>
  <c r="L79" i="208"/>
  <c r="P79" i="208" l="1"/>
  <c r="M79" i="208"/>
  <c r="H187" i="208" l="1"/>
  <c r="O187" i="208" s="1"/>
  <c r="L187" i="208"/>
  <c r="M187" i="208" l="1"/>
  <c r="K10" i="398" l="1"/>
  <c r="K9" i="398" l="1"/>
  <c r="K8" i="398" l="1"/>
  <c r="K10" i="389" l="1"/>
  <c r="K7" i="398" l="1"/>
  <c r="L17" i="208" l="1"/>
  <c r="H17" i="208"/>
  <c r="O17" i="208" l="1"/>
  <c r="M17" i="208"/>
  <c r="K9" i="389" l="1"/>
  <c r="L185" i="208" l="1"/>
  <c r="M185" i="208" s="1"/>
  <c r="O185" i="208"/>
  <c r="L78" i="208"/>
  <c r="M78" i="208" s="1"/>
  <c r="P78" i="208" l="1"/>
  <c r="K8" i="389" l="1"/>
  <c r="L122" i="208" l="1"/>
  <c r="M122" i="208" s="1"/>
  <c r="K14" i="398" l="1"/>
  <c r="J14" i="398"/>
  <c r="H14" i="398"/>
  <c r="L39" i="5" s="1"/>
  <c r="I13" i="398"/>
  <c r="I12" i="398"/>
  <c r="I11" i="398"/>
  <c r="I6" i="398"/>
  <c r="F7" i="398" s="1"/>
  <c r="I7" i="398" s="1"/>
  <c r="F8" i="398" s="1"/>
  <c r="I8" i="398" s="1"/>
  <c r="F9" i="398" s="1"/>
  <c r="I9" i="398" s="1"/>
  <c r="F10" i="398" s="1"/>
  <c r="I10" i="398" s="1"/>
  <c r="M39" i="5" l="1"/>
  <c r="P39" i="5"/>
  <c r="M14" i="398"/>
  <c r="I14" i="398"/>
  <c r="L123" i="208" l="1"/>
  <c r="M123" i="208" s="1"/>
  <c r="K7" i="389" l="1"/>
  <c r="H184" i="208" l="1"/>
  <c r="O184" i="208" s="1"/>
  <c r="L184" i="208"/>
  <c r="H156" i="208"/>
  <c r="O156" i="208" s="1"/>
  <c r="L156" i="208"/>
  <c r="M184" i="208" l="1"/>
  <c r="M156" i="208"/>
  <c r="K6" i="389" l="1"/>
  <c r="L190" i="208" l="1"/>
  <c r="M190" i="208" s="1"/>
  <c r="J12" i="389"/>
  <c r="J19" i="389" s="1"/>
  <c r="H12" i="389"/>
  <c r="I11" i="389"/>
  <c r="K12" i="389"/>
  <c r="K19" i="389" s="1"/>
  <c r="I6" i="389"/>
  <c r="F7" i="389" s="1"/>
  <c r="I7" i="389" s="1"/>
  <c r="F8" i="389" s="1"/>
  <c r="I8" i="389" s="1"/>
  <c r="F9" i="389" s="1"/>
  <c r="I9" i="389" s="1"/>
  <c r="F10" i="389" s="1"/>
  <c r="I10" i="389" s="1"/>
  <c r="I12" i="389" l="1"/>
  <c r="H19" i="389"/>
  <c r="I19" i="389" s="1"/>
  <c r="L18" i="81"/>
  <c r="L142" i="208"/>
  <c r="M142" i="208" s="1"/>
  <c r="L22" i="208"/>
  <c r="M12" i="389"/>
  <c r="M22" i="208" l="1"/>
  <c r="O22" i="208"/>
  <c r="L162" i="208" l="1"/>
  <c r="M162" i="208" s="1"/>
  <c r="K6" i="381" l="1"/>
  <c r="J14" i="381" l="1"/>
  <c r="H14" i="381"/>
  <c r="I14" i="381" s="1"/>
  <c r="I13" i="381"/>
  <c r="I12" i="381"/>
  <c r="I11" i="381"/>
  <c r="I10" i="381"/>
  <c r="I9" i="381"/>
  <c r="I8" i="381"/>
  <c r="K14" i="381"/>
  <c r="I6" i="381"/>
  <c r="F7" i="381" s="1"/>
  <c r="I7" i="381" s="1"/>
  <c r="L10" i="79" l="1"/>
  <c r="M14" i="381"/>
  <c r="L21" i="208" l="1"/>
  <c r="M21" i="208" l="1"/>
  <c r="O21" i="208"/>
  <c r="H25" i="270" l="1"/>
  <c r="H27" i="79" l="1"/>
  <c r="H22" i="81" l="1"/>
  <c r="L20" i="208" l="1"/>
  <c r="M20" i="208" l="1"/>
  <c r="O20" i="208"/>
  <c r="H182" i="208"/>
  <c r="O182" i="208" s="1"/>
  <c r="L121" i="208" l="1"/>
  <c r="M121" i="208" s="1"/>
  <c r="L194" i="208"/>
  <c r="M194" i="208" s="1"/>
  <c r="H181" i="208" l="1"/>
  <c r="O181" i="208" s="1"/>
  <c r="L85" i="208" l="1"/>
  <c r="P85" i="208" l="1"/>
  <c r="M85" i="208"/>
  <c r="V93" i="268" l="1"/>
  <c r="V91" i="268"/>
  <c r="V89" i="268"/>
  <c r="L80" i="268"/>
  <c r="V80" i="268"/>
  <c r="L81" i="268"/>
  <c r="V81" i="268"/>
  <c r="L82" i="268"/>
  <c r="V82" i="268"/>
  <c r="L83" i="268"/>
  <c r="V83" i="268"/>
  <c r="L84" i="268"/>
  <c r="V84" i="268"/>
  <c r="L85" i="268"/>
  <c r="V85" i="268"/>
  <c r="P94" i="268" l="1"/>
  <c r="V92" i="268"/>
  <c r="V90" i="268"/>
  <c r="O94" i="268"/>
  <c r="S94" i="268"/>
  <c r="R94" i="268"/>
  <c r="L90" i="268"/>
  <c r="G94" i="268"/>
  <c r="L89" i="268"/>
  <c r="F94" i="268"/>
  <c r="L88" i="268"/>
  <c r="E94" i="268"/>
  <c r="Q94" i="268"/>
  <c r="U94" i="268"/>
  <c r="H94" i="268"/>
  <c r="T94" i="268"/>
  <c r="D94" i="268"/>
  <c r="L94" i="268" l="1"/>
  <c r="V94" i="268"/>
  <c r="H140" i="208"/>
  <c r="O140" i="208" s="1"/>
  <c r="L140" i="208"/>
  <c r="M140" i="208" l="1"/>
  <c r="H48" i="208"/>
  <c r="L48" i="208"/>
  <c r="P48" i="208" l="1"/>
  <c r="M48" i="208"/>
  <c r="K10" i="327" l="1"/>
  <c r="H119" i="208" l="1"/>
  <c r="O119" i="208" s="1"/>
  <c r="L119" i="208"/>
  <c r="M119" i="208" l="1"/>
  <c r="L161" i="208"/>
  <c r="M161" i="208" s="1"/>
  <c r="L52" i="208" l="1"/>
  <c r="M52" i="208" l="1"/>
  <c r="P52" i="208"/>
  <c r="K9" i="327"/>
  <c r="M47" i="208" l="1"/>
  <c r="K8" i="327" l="1"/>
  <c r="L84" i="208" l="1"/>
  <c r="M84" i="208" l="1"/>
  <c r="P84" i="208"/>
  <c r="H155" i="208" l="1"/>
  <c r="O155" i="208" s="1"/>
  <c r="M155" i="208" l="1"/>
  <c r="L193" i="208" l="1"/>
  <c r="M193" i="208" s="1"/>
  <c r="K8" i="326" l="1"/>
  <c r="K7" i="327" l="1"/>
  <c r="H118" i="208" l="1"/>
  <c r="O118" i="208" s="1"/>
  <c r="M118" i="208" l="1"/>
  <c r="H15" i="208"/>
  <c r="O15" i="208" l="1"/>
  <c r="M15" i="208"/>
  <c r="H14" i="208"/>
  <c r="M14" i="208" l="1"/>
  <c r="O14" i="208"/>
  <c r="H46" i="208" l="1"/>
  <c r="M46" i="208" l="1"/>
  <c r="P46" i="208"/>
  <c r="H117" i="208"/>
  <c r="O117" i="208" s="1"/>
  <c r="M117" i="208" l="1"/>
  <c r="H45" i="208"/>
  <c r="M45" i="208" l="1"/>
  <c r="P45" i="208"/>
  <c r="K6" i="327"/>
  <c r="K14" i="327" l="1"/>
  <c r="J14" i="327"/>
  <c r="H14" i="327"/>
  <c r="I14" i="327" s="1"/>
  <c r="I13" i="327"/>
  <c r="I12" i="327"/>
  <c r="I11" i="327"/>
  <c r="I6" i="327"/>
  <c r="F7" i="327" s="1"/>
  <c r="I7" i="327" s="1"/>
  <c r="F8" i="327" s="1"/>
  <c r="I8" i="327" s="1"/>
  <c r="F9" i="327" s="1"/>
  <c r="I9" i="327" s="1"/>
  <c r="F10" i="327" s="1"/>
  <c r="I10" i="327" s="1"/>
  <c r="L12" i="81" l="1"/>
  <c r="M14" i="327"/>
  <c r="K7" i="326"/>
  <c r="K6" i="326" l="1"/>
  <c r="K14" i="326" l="1"/>
  <c r="J14" i="326"/>
  <c r="H14" i="326"/>
  <c r="L26" i="81" s="1"/>
  <c r="M26" i="81" s="1"/>
  <c r="I13" i="326"/>
  <c r="I12" i="326"/>
  <c r="I11" i="326"/>
  <c r="I10" i="326"/>
  <c r="I9" i="326"/>
  <c r="I6" i="326"/>
  <c r="F7" i="326" s="1"/>
  <c r="I7" i="326" s="1"/>
  <c r="F8" i="326" s="1"/>
  <c r="I8" i="326" s="1"/>
  <c r="M14" i="326" l="1"/>
  <c r="I14" i="326"/>
  <c r="H178" i="208" l="1"/>
  <c r="M178" i="208" l="1"/>
  <c r="O178" i="208"/>
  <c r="H13" i="208"/>
  <c r="O13" i="208" l="1"/>
  <c r="M13" i="208"/>
  <c r="H12" i="208" l="1"/>
  <c r="O12" i="208" l="1"/>
  <c r="M12" i="208"/>
  <c r="H154" i="208" l="1"/>
  <c r="O154" i="208" s="1"/>
  <c r="M154" i="208" l="1"/>
  <c r="M174" i="208" s="1"/>
  <c r="J135" i="268" s="1"/>
  <c r="J136" i="268" s="1"/>
  <c r="H43" i="208" l="1"/>
  <c r="P43" i="208" l="1"/>
  <c r="M43" i="208"/>
  <c r="M42" i="208" l="1"/>
  <c r="P42" i="208" l="1"/>
  <c r="V73" i="268" l="1"/>
  <c r="V74" i="268"/>
  <c r="V75" i="268"/>
  <c r="V76" i="268"/>
  <c r="V77" i="268"/>
  <c r="V72" i="268"/>
  <c r="L73" i="268"/>
  <c r="L74" i="268"/>
  <c r="L75" i="268"/>
  <c r="L76" i="268"/>
  <c r="L77" i="268"/>
  <c r="L72" i="268"/>
  <c r="S86" i="268" l="1"/>
  <c r="R86" i="268"/>
  <c r="O86" i="268"/>
  <c r="N86" i="268"/>
  <c r="K86" i="268"/>
  <c r="J86" i="268"/>
  <c r="I86" i="268"/>
  <c r="G86" i="268"/>
  <c r="F86" i="268"/>
  <c r="E86" i="268"/>
  <c r="Q86" i="268"/>
  <c r="U86" i="268"/>
  <c r="H86" i="268"/>
  <c r="T86" i="268"/>
  <c r="P86" i="268"/>
  <c r="D86" i="268"/>
  <c r="V86" i="268" l="1"/>
  <c r="L86" i="268"/>
  <c r="L11" i="208" l="1"/>
  <c r="H11" i="208"/>
  <c r="O11" i="208" l="1"/>
  <c r="M11" i="208"/>
  <c r="P29" i="5" l="1"/>
  <c r="P30" i="5"/>
  <c r="P31" i="5"/>
  <c r="P32" i="5"/>
  <c r="P33" i="5"/>
  <c r="P28" i="5"/>
  <c r="L137" i="208" l="1"/>
  <c r="M137" i="208" s="1"/>
  <c r="O137" i="208"/>
  <c r="M31" i="9" l="1"/>
  <c r="M32" i="9"/>
  <c r="M33" i="9"/>
  <c r="M7" i="271"/>
  <c r="M26" i="270"/>
  <c r="M28" i="5"/>
  <c r="M29" i="5"/>
  <c r="M30" i="5"/>
  <c r="M31" i="5"/>
  <c r="M32" i="5"/>
  <c r="M33" i="5"/>
  <c r="V70" i="268" l="1"/>
  <c r="U70" i="268"/>
  <c r="T70" i="268"/>
  <c r="S70" i="268"/>
  <c r="R70" i="268"/>
  <c r="Q70" i="268"/>
  <c r="P70" i="268"/>
  <c r="O70" i="268"/>
  <c r="N70" i="268"/>
  <c r="L70" i="268"/>
  <c r="K70" i="268"/>
  <c r="J70" i="268"/>
  <c r="I70" i="268"/>
  <c r="H70" i="268"/>
  <c r="G70" i="268"/>
  <c r="F70" i="268"/>
  <c r="E70" i="268"/>
  <c r="D70" i="268"/>
  <c r="H10" i="208" l="1"/>
  <c r="O10" i="208" l="1"/>
  <c r="M10" i="208"/>
  <c r="H74" i="208" l="1"/>
  <c r="L74" i="208"/>
  <c r="P74" i="208" l="1"/>
  <c r="M74" i="208"/>
  <c r="M97" i="208" s="1"/>
  <c r="O8" i="271" l="1"/>
  <c r="O18" i="270"/>
  <c r="O19" i="270"/>
  <c r="O25" i="270"/>
  <c r="O22" i="81"/>
  <c r="O23" i="81"/>
  <c r="O25" i="80"/>
  <c r="O26" i="80"/>
  <c r="O29" i="80"/>
  <c r="O18" i="79"/>
  <c r="O20" i="79"/>
  <c r="O22" i="79"/>
  <c r="O24" i="79"/>
  <c r="O27" i="79"/>
  <c r="P26" i="5"/>
  <c r="P27" i="5"/>
  <c r="M26" i="5" l="1"/>
  <c r="M27" i="5"/>
  <c r="H24" i="270" l="1"/>
  <c r="O24" i="270" s="1"/>
  <c r="H21" i="270" l="1"/>
  <c r="O21" i="270" s="1"/>
  <c r="H20" i="270"/>
  <c r="O20" i="270" s="1"/>
  <c r="H22" i="270"/>
  <c r="O22" i="270" s="1"/>
  <c r="V62" i="268" l="1"/>
  <c r="U62" i="268"/>
  <c r="T62" i="268"/>
  <c r="S62" i="268"/>
  <c r="R62" i="268"/>
  <c r="Q62" i="268"/>
  <c r="P62" i="268"/>
  <c r="O62" i="268"/>
  <c r="N62" i="268"/>
  <c r="L62" i="268"/>
  <c r="K62" i="268"/>
  <c r="J62" i="268"/>
  <c r="I62" i="268"/>
  <c r="H62" i="268"/>
  <c r="G62" i="268"/>
  <c r="F62" i="268"/>
  <c r="E62" i="268"/>
  <c r="D62" i="268"/>
  <c r="H26" i="79" l="1"/>
  <c r="O26" i="79" s="1"/>
  <c r="P7" i="4" l="1"/>
  <c r="P11" i="4"/>
  <c r="P12" i="4"/>
  <c r="P13" i="4"/>
  <c r="P15" i="4"/>
  <c r="P16" i="4"/>
  <c r="P17" i="4"/>
  <c r="P18" i="4"/>
  <c r="P23" i="4"/>
  <c r="P25" i="4"/>
  <c r="P26" i="4"/>
  <c r="P27" i="4"/>
  <c r="P28" i="4"/>
  <c r="P29" i="4"/>
  <c r="P30" i="4"/>
  <c r="P31" i="4"/>
  <c r="H33" i="4" l="1"/>
  <c r="P33" i="4" s="1"/>
  <c r="H23" i="270" l="1"/>
  <c r="O23" i="270" s="1"/>
  <c r="H176" i="208" l="1"/>
  <c r="M176" i="208" s="1"/>
  <c r="P25" i="5" l="1"/>
  <c r="P22" i="5"/>
  <c r="H36" i="80"/>
  <c r="O36" i="80" s="1"/>
  <c r="L54" i="208" l="1"/>
  <c r="P54" i="208" l="1"/>
  <c r="M54" i="208"/>
  <c r="K20" i="250" l="1"/>
  <c r="H20" i="250"/>
  <c r="J9" i="250"/>
  <c r="H7" i="250"/>
  <c r="K6" i="250"/>
  <c r="K9" i="250" s="1"/>
  <c r="H6" i="250"/>
  <c r="J16" i="274"/>
  <c r="H16" i="274"/>
  <c r="I15" i="274"/>
  <c r="I14" i="274"/>
  <c r="I13" i="274"/>
  <c r="I12" i="274"/>
  <c r="K10" i="274"/>
  <c r="K8" i="274"/>
  <c r="K7" i="274"/>
  <c r="K6" i="274"/>
  <c r="I6" i="274"/>
  <c r="F7" i="274" s="1"/>
  <c r="I7" i="274" s="1"/>
  <c r="F8" i="274" s="1"/>
  <c r="I8" i="274" s="1"/>
  <c r="F9" i="274" s="1"/>
  <c r="I9" i="274" s="1"/>
  <c r="F10" i="274" s="1"/>
  <c r="I10" i="274" s="1"/>
  <c r="F11" i="274" s="1"/>
  <c r="I11" i="274" s="1"/>
  <c r="K15" i="280"/>
  <c r="J15" i="280"/>
  <c r="H15" i="280"/>
  <c r="I14" i="280"/>
  <c r="I13" i="280"/>
  <c r="I12" i="280"/>
  <c r="I11" i="280"/>
  <c r="I10" i="280"/>
  <c r="K9" i="280"/>
  <c r="J9" i="280"/>
  <c r="H9" i="280"/>
  <c r="I8" i="280"/>
  <c r="I7" i="280"/>
  <c r="I6" i="280"/>
  <c r="K15" i="281"/>
  <c r="J15" i="281"/>
  <c r="H15" i="281"/>
  <c r="I14" i="281"/>
  <c r="I13" i="281"/>
  <c r="I12" i="281"/>
  <c r="I11" i="281"/>
  <c r="I10" i="281"/>
  <c r="J9" i="281"/>
  <c r="H9" i="281"/>
  <c r="I9" i="281" s="1"/>
  <c r="I8" i="281"/>
  <c r="I7" i="281"/>
  <c r="K6" i="281"/>
  <c r="K9" i="281" s="1"/>
  <c r="K16" i="281" s="1"/>
  <c r="I6" i="281"/>
  <c r="K15" i="282"/>
  <c r="H15" i="282"/>
  <c r="I14" i="282"/>
  <c r="I13" i="282"/>
  <c r="I12" i="282"/>
  <c r="I11" i="282"/>
  <c r="I10" i="282"/>
  <c r="J16" i="282"/>
  <c r="H9" i="282"/>
  <c r="I9" i="282" s="1"/>
  <c r="I8" i="282"/>
  <c r="I6" i="282"/>
  <c r="F7" i="282" s="1"/>
  <c r="I7" i="282" s="1"/>
  <c r="K12" i="279"/>
  <c r="J12" i="279"/>
  <c r="H12" i="279"/>
  <c r="I11" i="279"/>
  <c r="I10" i="279"/>
  <c r="K9" i="279"/>
  <c r="J9" i="279"/>
  <c r="H9" i="279"/>
  <c r="I8" i="279"/>
  <c r="I7" i="279"/>
  <c r="I6" i="279"/>
  <c r="J14" i="291"/>
  <c r="H14" i="291"/>
  <c r="I14" i="291" s="1"/>
  <c r="I13" i="291"/>
  <c r="I12" i="291"/>
  <c r="I11" i="291"/>
  <c r="I10" i="291"/>
  <c r="K8" i="291"/>
  <c r="K7" i="291"/>
  <c r="K6" i="291"/>
  <c r="I6" i="291"/>
  <c r="F7" i="291" s="1"/>
  <c r="I7" i="291" s="1"/>
  <c r="F8" i="291" s="1"/>
  <c r="I8" i="291" s="1"/>
  <c r="F9" i="291" s="1"/>
  <c r="I9" i="291" s="1"/>
  <c r="J14" i="301"/>
  <c r="H14" i="301"/>
  <c r="L17" i="80" s="1"/>
  <c r="I13" i="301"/>
  <c r="K11" i="301"/>
  <c r="K9" i="301"/>
  <c r="K7" i="301"/>
  <c r="K6" i="301"/>
  <c r="I6" i="301"/>
  <c r="F7" i="301" s="1"/>
  <c r="I7" i="301" s="1"/>
  <c r="F8" i="301" s="1"/>
  <c r="I8" i="301" s="1"/>
  <c r="F9" i="301" s="1"/>
  <c r="I9" i="301" s="1"/>
  <c r="F10" i="301" s="1"/>
  <c r="I10" i="301" s="1"/>
  <c r="F11" i="301" s="1"/>
  <c r="I11" i="301" s="1"/>
  <c r="F12" i="301" s="1"/>
  <c r="I12" i="301" s="1"/>
  <c r="G10" i="271"/>
  <c r="O9" i="271"/>
  <c r="M9" i="271"/>
  <c r="M8" i="271"/>
  <c r="M2" i="271"/>
  <c r="G46" i="270"/>
  <c r="M25" i="270"/>
  <c r="M24" i="270"/>
  <c r="M23" i="270"/>
  <c r="M46" i="270" s="1"/>
  <c r="M22" i="270"/>
  <c r="M21" i="270"/>
  <c r="M20" i="270"/>
  <c r="M19" i="270"/>
  <c r="M18" i="270"/>
  <c r="O17" i="270"/>
  <c r="M17" i="270"/>
  <c r="O16" i="270"/>
  <c r="M16" i="270"/>
  <c r="O15" i="270"/>
  <c r="M15" i="270"/>
  <c r="H14" i="270"/>
  <c r="O14" i="270" s="1"/>
  <c r="O13" i="270"/>
  <c r="M13" i="270"/>
  <c r="O12" i="270"/>
  <c r="M12" i="270"/>
  <c r="O11" i="270"/>
  <c r="M11" i="270"/>
  <c r="H10" i="270"/>
  <c r="O10" i="270" s="1"/>
  <c r="H9" i="270"/>
  <c r="O9" i="270" s="1"/>
  <c r="H8" i="270"/>
  <c r="O8" i="270" s="1"/>
  <c r="H7" i="270"/>
  <c r="H6" i="270"/>
  <c r="M2" i="270"/>
  <c r="G44" i="81"/>
  <c r="O43" i="81"/>
  <c r="M43" i="81"/>
  <c r="M23" i="81"/>
  <c r="M22" i="81"/>
  <c r="H21" i="81"/>
  <c r="O21" i="81" s="1"/>
  <c r="H20" i="81"/>
  <c r="O19" i="81"/>
  <c r="M19" i="81"/>
  <c r="H18" i="81"/>
  <c r="O18" i="81" s="1"/>
  <c r="H17" i="81"/>
  <c r="H16" i="81"/>
  <c r="O15" i="81"/>
  <c r="M15" i="81"/>
  <c r="H14" i="81"/>
  <c r="O14" i="81" s="1"/>
  <c r="H13" i="81"/>
  <c r="H12" i="81"/>
  <c r="M12" i="81" s="1"/>
  <c r="O11" i="81"/>
  <c r="M11" i="81"/>
  <c r="O10" i="81"/>
  <c r="M10" i="81"/>
  <c r="H9" i="81"/>
  <c r="O9" i="81" s="1"/>
  <c r="H8" i="81"/>
  <c r="H7" i="81"/>
  <c r="H6" i="81"/>
  <c r="M2" i="81"/>
  <c r="G49" i="80"/>
  <c r="O48" i="80"/>
  <c r="M36" i="80"/>
  <c r="H35" i="80"/>
  <c r="O35" i="80" s="1"/>
  <c r="H34" i="80"/>
  <c r="H33" i="80"/>
  <c r="H32" i="80"/>
  <c r="H31" i="80"/>
  <c r="H30" i="80"/>
  <c r="M29" i="80"/>
  <c r="H28" i="80"/>
  <c r="H27" i="80"/>
  <c r="M26" i="80"/>
  <c r="M25" i="80"/>
  <c r="H24" i="80"/>
  <c r="H23" i="80"/>
  <c r="O23" i="80" s="1"/>
  <c r="H22" i="80"/>
  <c r="H21" i="80"/>
  <c r="H20" i="80"/>
  <c r="O20" i="80" s="1"/>
  <c r="H19" i="80"/>
  <c r="H18" i="80"/>
  <c r="O18" i="80" s="1"/>
  <c r="H17" i="80"/>
  <c r="O17" i="80" s="1"/>
  <c r="H16" i="80"/>
  <c r="H15" i="80"/>
  <c r="O15" i="80" s="1"/>
  <c r="H14" i="80"/>
  <c r="H13" i="80"/>
  <c r="O12" i="80"/>
  <c r="M12" i="80"/>
  <c r="H11" i="80"/>
  <c r="O11" i="80" s="1"/>
  <c r="O10" i="80"/>
  <c r="M10" i="80"/>
  <c r="O9" i="80"/>
  <c r="M9" i="80"/>
  <c r="H8" i="80"/>
  <c r="M8" i="80" s="1"/>
  <c r="O7" i="80"/>
  <c r="M7" i="80"/>
  <c r="O6" i="80"/>
  <c r="M6" i="80"/>
  <c r="M2" i="80"/>
  <c r="G46" i="79"/>
  <c r="O45" i="79"/>
  <c r="M27" i="79"/>
  <c r="M26" i="79"/>
  <c r="H25" i="79"/>
  <c r="M24" i="79"/>
  <c r="H23" i="79"/>
  <c r="M22" i="79"/>
  <c r="H21" i="79"/>
  <c r="M20" i="79"/>
  <c r="H19" i="79"/>
  <c r="O19" i="79" s="1"/>
  <c r="M18" i="79"/>
  <c r="H17" i="79"/>
  <c r="H16" i="79"/>
  <c r="H15" i="79"/>
  <c r="O15" i="79" s="1"/>
  <c r="H14" i="79"/>
  <c r="H13" i="79"/>
  <c r="O12" i="79"/>
  <c r="M12" i="79"/>
  <c r="H11" i="79"/>
  <c r="O11" i="79" s="1"/>
  <c r="H10" i="79"/>
  <c r="O10" i="79" s="1"/>
  <c r="H9" i="79"/>
  <c r="H8" i="79"/>
  <c r="O8" i="79" s="1"/>
  <c r="H7" i="79"/>
  <c r="O7" i="79" s="1"/>
  <c r="H6" i="79"/>
  <c r="M2" i="79"/>
  <c r="K51" i="4"/>
  <c r="I51" i="4"/>
  <c r="N51" i="4"/>
  <c r="M33" i="4"/>
  <c r="H32" i="4"/>
  <c r="M31" i="4"/>
  <c r="M30" i="4"/>
  <c r="M29" i="4"/>
  <c r="M28" i="4"/>
  <c r="M27" i="4"/>
  <c r="M26" i="4"/>
  <c r="M25" i="4"/>
  <c r="H24" i="4"/>
  <c r="M23" i="4"/>
  <c r="H22" i="4"/>
  <c r="P22" i="4" s="1"/>
  <c r="H20" i="4"/>
  <c r="P20" i="4" s="1"/>
  <c r="H19" i="4"/>
  <c r="P19" i="4" s="1"/>
  <c r="M18" i="4"/>
  <c r="M17" i="4"/>
  <c r="M16" i="4"/>
  <c r="M15" i="4"/>
  <c r="H14" i="4"/>
  <c r="M13" i="4"/>
  <c r="M12" i="4"/>
  <c r="M11" i="4"/>
  <c r="H10" i="4"/>
  <c r="H9" i="4"/>
  <c r="H8" i="4"/>
  <c r="P8" i="4" s="1"/>
  <c r="M7" i="4"/>
  <c r="H6" i="4"/>
  <c r="P6" i="4" s="1"/>
  <c r="O2" i="4"/>
  <c r="P55" i="5"/>
  <c r="K56" i="5"/>
  <c r="J56" i="5"/>
  <c r="I56" i="5"/>
  <c r="G56" i="5"/>
  <c r="N55" i="5"/>
  <c r="N56" i="5" s="1"/>
  <c r="P24" i="5"/>
  <c r="M25" i="5"/>
  <c r="M24" i="5"/>
  <c r="P21" i="5"/>
  <c r="M22" i="5"/>
  <c r="P20" i="5"/>
  <c r="M21" i="5"/>
  <c r="M20" i="5"/>
  <c r="P19" i="5"/>
  <c r="M19" i="5"/>
  <c r="P18" i="5"/>
  <c r="P17" i="5"/>
  <c r="P15" i="5"/>
  <c r="M14" i="5"/>
  <c r="M13" i="5"/>
  <c r="M12" i="5"/>
  <c r="P11" i="5"/>
  <c r="M11" i="5"/>
  <c r="P10" i="5"/>
  <c r="P9" i="5"/>
  <c r="P8" i="5"/>
  <c r="M8" i="5"/>
  <c r="P7" i="5"/>
  <c r="H6" i="5"/>
  <c r="O2" i="5"/>
  <c r="K44" i="9"/>
  <c r="J44" i="9"/>
  <c r="I44" i="9"/>
  <c r="G44" i="9"/>
  <c r="O43" i="9"/>
  <c r="O30" i="9"/>
  <c r="M30" i="9"/>
  <c r="O29" i="9"/>
  <c r="M29" i="9"/>
  <c r="H28" i="9"/>
  <c r="M28" i="9" s="1"/>
  <c r="H27" i="9"/>
  <c r="O27" i="9" s="1"/>
  <c r="O26" i="9"/>
  <c r="M26" i="9"/>
  <c r="O25" i="9"/>
  <c r="M25" i="9"/>
  <c r="O24" i="9"/>
  <c r="M24" i="9"/>
  <c r="O23" i="9"/>
  <c r="M23" i="9"/>
  <c r="O22" i="9"/>
  <c r="M22" i="9"/>
  <c r="H21" i="9"/>
  <c r="O21" i="9" s="1"/>
  <c r="H20" i="9"/>
  <c r="O20" i="9" s="1"/>
  <c r="H19" i="9"/>
  <c r="O18" i="9"/>
  <c r="M18" i="9"/>
  <c r="H17" i="9"/>
  <c r="O17" i="9" s="1"/>
  <c r="O16" i="9"/>
  <c r="M16" i="9"/>
  <c r="H15" i="9"/>
  <c r="O15" i="9" s="1"/>
  <c r="H14" i="9"/>
  <c r="H13" i="9"/>
  <c r="M13" i="9" s="1"/>
  <c r="O12" i="9"/>
  <c r="M12" i="9"/>
  <c r="H11" i="9"/>
  <c r="O10" i="9"/>
  <c r="M10" i="9"/>
  <c r="H9" i="9"/>
  <c r="O9" i="9" s="1"/>
  <c r="H8" i="9"/>
  <c r="M8" i="9" s="1"/>
  <c r="H7" i="9"/>
  <c r="O7" i="9" s="1"/>
  <c r="H6" i="9"/>
  <c r="M2" i="9"/>
  <c r="U358" i="268"/>
  <c r="T358" i="268"/>
  <c r="S358" i="268"/>
  <c r="R358" i="268"/>
  <c r="Q358" i="268"/>
  <c r="P358" i="268"/>
  <c r="O358" i="268"/>
  <c r="N358" i="268"/>
  <c r="K358" i="268"/>
  <c r="J358" i="268"/>
  <c r="I358" i="268"/>
  <c r="H358" i="268"/>
  <c r="G358" i="268"/>
  <c r="F358" i="268"/>
  <c r="E358" i="268"/>
  <c r="D358" i="268"/>
  <c r="V357" i="268"/>
  <c r="L357" i="268"/>
  <c r="V356" i="268"/>
  <c r="L356" i="268"/>
  <c r="V355" i="268"/>
  <c r="L355" i="268"/>
  <c r="V354" i="268"/>
  <c r="L354" i="268"/>
  <c r="V353" i="268"/>
  <c r="L353" i="268"/>
  <c r="V352" i="268"/>
  <c r="L352" i="268"/>
  <c r="U351" i="268"/>
  <c r="T351" i="268"/>
  <c r="S351" i="268"/>
  <c r="R351" i="268"/>
  <c r="Q351" i="268"/>
  <c r="P351" i="268"/>
  <c r="O351" i="268"/>
  <c r="N351" i="268"/>
  <c r="K351" i="268"/>
  <c r="J351" i="268"/>
  <c r="I351" i="268"/>
  <c r="H351" i="268"/>
  <c r="G351" i="268"/>
  <c r="F351" i="268"/>
  <c r="E351" i="268"/>
  <c r="D351" i="268"/>
  <c r="V350" i="268"/>
  <c r="L350" i="268"/>
  <c r="V349" i="268"/>
  <c r="L349" i="268"/>
  <c r="V348" i="268"/>
  <c r="L348" i="268"/>
  <c r="V347" i="268"/>
  <c r="L347" i="268"/>
  <c r="V346" i="268"/>
  <c r="L346" i="268"/>
  <c r="V345" i="268"/>
  <c r="L345" i="268"/>
  <c r="U344" i="268"/>
  <c r="T344" i="268"/>
  <c r="S344" i="268"/>
  <c r="R344" i="268"/>
  <c r="Q344" i="268"/>
  <c r="P344" i="268"/>
  <c r="O344" i="268"/>
  <c r="N344" i="268"/>
  <c r="K344" i="268"/>
  <c r="J344" i="268"/>
  <c r="I344" i="268"/>
  <c r="H344" i="268"/>
  <c r="G344" i="268"/>
  <c r="F344" i="268"/>
  <c r="E344" i="268"/>
  <c r="D344" i="268"/>
  <c r="V343" i="268"/>
  <c r="L343" i="268"/>
  <c r="V342" i="268"/>
  <c r="L342" i="268"/>
  <c r="V341" i="268"/>
  <c r="L341" i="268"/>
  <c r="V340" i="268"/>
  <c r="L340" i="268"/>
  <c r="V339" i="268"/>
  <c r="L339" i="268"/>
  <c r="V338" i="268"/>
  <c r="L338" i="268"/>
  <c r="U337" i="268"/>
  <c r="T337" i="268"/>
  <c r="S337" i="268"/>
  <c r="R337" i="268"/>
  <c r="Q337" i="268"/>
  <c r="P337" i="268"/>
  <c r="O337" i="268"/>
  <c r="N337" i="268"/>
  <c r="K337" i="268"/>
  <c r="J337" i="268"/>
  <c r="I337" i="268"/>
  <c r="H337" i="268"/>
  <c r="G337" i="268"/>
  <c r="F337" i="268"/>
  <c r="E337" i="268"/>
  <c r="D337" i="268"/>
  <c r="V336" i="268"/>
  <c r="L336" i="268"/>
  <c r="V335" i="268"/>
  <c r="L335" i="268"/>
  <c r="V334" i="268"/>
  <c r="L334" i="268"/>
  <c r="V333" i="268"/>
  <c r="L333" i="268"/>
  <c r="V332" i="268"/>
  <c r="L332" i="268"/>
  <c r="V331" i="268"/>
  <c r="L331" i="268"/>
  <c r="U330" i="268"/>
  <c r="T330" i="268"/>
  <c r="S330" i="268"/>
  <c r="R330" i="268"/>
  <c r="Q330" i="268"/>
  <c r="P330" i="268"/>
  <c r="O330" i="268"/>
  <c r="N330" i="268"/>
  <c r="K330" i="268"/>
  <c r="J330" i="268"/>
  <c r="I330" i="268"/>
  <c r="H330" i="268"/>
  <c r="G330" i="268"/>
  <c r="F330" i="268"/>
  <c r="E330" i="268"/>
  <c r="D330" i="268"/>
  <c r="V329" i="268"/>
  <c r="L329" i="268"/>
  <c r="V328" i="268"/>
  <c r="L328" i="268"/>
  <c r="V327" i="268"/>
  <c r="L327" i="268"/>
  <c r="V326" i="268"/>
  <c r="L326" i="268"/>
  <c r="V325" i="268"/>
  <c r="L325" i="268"/>
  <c r="V324" i="268"/>
  <c r="L324" i="268"/>
  <c r="U323" i="268"/>
  <c r="T323" i="268"/>
  <c r="S323" i="268"/>
  <c r="R323" i="268"/>
  <c r="Q323" i="268"/>
  <c r="P323" i="268"/>
  <c r="O323" i="268"/>
  <c r="N323" i="268"/>
  <c r="K323" i="268"/>
  <c r="J323" i="268"/>
  <c r="I323" i="268"/>
  <c r="H323" i="268"/>
  <c r="G323" i="268"/>
  <c r="F323" i="268"/>
  <c r="E323" i="268"/>
  <c r="D323" i="268"/>
  <c r="V322" i="268"/>
  <c r="L322" i="268"/>
  <c r="V321" i="268"/>
  <c r="L321" i="268"/>
  <c r="V320" i="268"/>
  <c r="L320" i="268"/>
  <c r="V319" i="268"/>
  <c r="L319" i="268"/>
  <c r="V318" i="268"/>
  <c r="L318" i="268"/>
  <c r="V317" i="268"/>
  <c r="L317" i="268"/>
  <c r="U316" i="268"/>
  <c r="T316" i="268"/>
  <c r="S316" i="268"/>
  <c r="R316" i="268"/>
  <c r="Q316" i="268"/>
  <c r="P316" i="268"/>
  <c r="O316" i="268"/>
  <c r="N316" i="268"/>
  <c r="K316" i="268"/>
  <c r="J316" i="268"/>
  <c r="I316" i="268"/>
  <c r="H316" i="268"/>
  <c r="G316" i="268"/>
  <c r="F316" i="268"/>
  <c r="E316" i="268"/>
  <c r="D316" i="268"/>
  <c r="V315" i="268"/>
  <c r="L315" i="268"/>
  <c r="V314" i="268"/>
  <c r="L314" i="268"/>
  <c r="V313" i="268"/>
  <c r="L313" i="268"/>
  <c r="V312" i="268"/>
  <c r="L312" i="268"/>
  <c r="V311" i="268"/>
  <c r="L311" i="268"/>
  <c r="V310" i="268"/>
  <c r="L310" i="268"/>
  <c r="U309" i="268"/>
  <c r="T309" i="268"/>
  <c r="S309" i="268"/>
  <c r="R309" i="268"/>
  <c r="Q309" i="268"/>
  <c r="P309" i="268"/>
  <c r="O309" i="268"/>
  <c r="N309" i="268"/>
  <c r="K309" i="268"/>
  <c r="J309" i="268"/>
  <c r="I309" i="268"/>
  <c r="H309" i="268"/>
  <c r="G309" i="268"/>
  <c r="F309" i="268"/>
  <c r="E309" i="268"/>
  <c r="D309" i="268"/>
  <c r="V308" i="268"/>
  <c r="L308" i="268"/>
  <c r="V307" i="268"/>
  <c r="L307" i="268"/>
  <c r="V306" i="268"/>
  <c r="L306" i="268"/>
  <c r="V305" i="268"/>
  <c r="L305" i="268"/>
  <c r="V304" i="268"/>
  <c r="L304" i="268"/>
  <c r="V303" i="268"/>
  <c r="L303" i="268"/>
  <c r="U302" i="268"/>
  <c r="T302" i="268"/>
  <c r="S302" i="268"/>
  <c r="R302" i="268"/>
  <c r="Q302" i="268"/>
  <c r="P302" i="268"/>
  <c r="O302" i="268"/>
  <c r="N302" i="268"/>
  <c r="K302" i="268"/>
  <c r="J302" i="268"/>
  <c r="I302" i="268"/>
  <c r="H302" i="268"/>
  <c r="G302" i="268"/>
  <c r="F302" i="268"/>
  <c r="E302" i="268"/>
  <c r="D302" i="268"/>
  <c r="V301" i="268"/>
  <c r="L301" i="268"/>
  <c r="V300" i="268"/>
  <c r="L300" i="268"/>
  <c r="V299" i="268"/>
  <c r="L299" i="268"/>
  <c r="V298" i="268"/>
  <c r="L298" i="268"/>
  <c r="V297" i="268"/>
  <c r="L297" i="268"/>
  <c r="V296" i="268"/>
  <c r="L296" i="268"/>
  <c r="U295" i="268"/>
  <c r="T295" i="268"/>
  <c r="S295" i="268"/>
  <c r="R295" i="268"/>
  <c r="Q295" i="268"/>
  <c r="P295" i="268"/>
  <c r="O295" i="268"/>
  <c r="N295" i="268"/>
  <c r="K295" i="268"/>
  <c r="J295" i="268"/>
  <c r="I295" i="268"/>
  <c r="H295" i="268"/>
  <c r="G295" i="268"/>
  <c r="F295" i="268"/>
  <c r="E295" i="268"/>
  <c r="D295" i="268"/>
  <c r="V294" i="268"/>
  <c r="L294" i="268"/>
  <c r="V293" i="268"/>
  <c r="L293" i="268"/>
  <c r="V292" i="268"/>
  <c r="L292" i="268"/>
  <c r="V291" i="268"/>
  <c r="L291" i="268"/>
  <c r="V290" i="268"/>
  <c r="L290" i="268"/>
  <c r="V289" i="268"/>
  <c r="L289" i="268"/>
  <c r="U288" i="268"/>
  <c r="T288" i="268"/>
  <c r="S288" i="268"/>
  <c r="R288" i="268"/>
  <c r="Q288" i="268"/>
  <c r="O288" i="268"/>
  <c r="N288" i="268"/>
  <c r="K288" i="268"/>
  <c r="J288" i="268"/>
  <c r="I288" i="268"/>
  <c r="H288" i="268"/>
  <c r="G288" i="268"/>
  <c r="F288" i="268"/>
  <c r="E288" i="268"/>
  <c r="D288" i="268"/>
  <c r="V287" i="268"/>
  <c r="L287" i="268"/>
  <c r="V286" i="268"/>
  <c r="L286" i="268"/>
  <c r="V285" i="268"/>
  <c r="L285" i="268"/>
  <c r="V284" i="268"/>
  <c r="L284" i="268"/>
  <c r="V283" i="268"/>
  <c r="L283" i="268"/>
  <c r="V282" i="268"/>
  <c r="L282" i="268"/>
  <c r="U281" i="268"/>
  <c r="T281" i="268"/>
  <c r="S281" i="268"/>
  <c r="R281" i="268"/>
  <c r="Q281" i="268"/>
  <c r="P281" i="268"/>
  <c r="O281" i="268"/>
  <c r="N281" i="268"/>
  <c r="K281" i="268"/>
  <c r="J281" i="268"/>
  <c r="I281" i="268"/>
  <c r="H281" i="268"/>
  <c r="G281" i="268"/>
  <c r="F281" i="268"/>
  <c r="E281" i="268"/>
  <c r="D281" i="268"/>
  <c r="V280" i="268"/>
  <c r="L280" i="268"/>
  <c r="V279" i="268"/>
  <c r="L279" i="268"/>
  <c r="V278" i="268"/>
  <c r="L278" i="268"/>
  <c r="V277" i="268"/>
  <c r="L277" i="268"/>
  <c r="V276" i="268"/>
  <c r="L276" i="268"/>
  <c r="V275" i="268"/>
  <c r="L275" i="268"/>
  <c r="U274" i="268"/>
  <c r="T274" i="268"/>
  <c r="S274" i="268"/>
  <c r="R274" i="268"/>
  <c r="Q274" i="268"/>
  <c r="P274" i="268"/>
  <c r="O274" i="268"/>
  <c r="N274" i="268"/>
  <c r="K274" i="268"/>
  <c r="J274" i="268"/>
  <c r="I274" i="268"/>
  <c r="H274" i="268"/>
  <c r="G274" i="268"/>
  <c r="F274" i="268"/>
  <c r="E274" i="268"/>
  <c r="D274" i="268"/>
  <c r="V273" i="268"/>
  <c r="L273" i="268"/>
  <c r="V272" i="268"/>
  <c r="L272" i="268"/>
  <c r="V271" i="268"/>
  <c r="L271" i="268"/>
  <c r="V270" i="268"/>
  <c r="L270" i="268"/>
  <c r="V269" i="268"/>
  <c r="L269" i="268"/>
  <c r="V268" i="268"/>
  <c r="L268" i="268"/>
  <c r="U267" i="268"/>
  <c r="T267" i="268"/>
  <c r="S267" i="268"/>
  <c r="R267" i="268"/>
  <c r="Q267" i="268"/>
  <c r="P267" i="268"/>
  <c r="O267" i="268"/>
  <c r="N267" i="268"/>
  <c r="K267" i="268"/>
  <c r="J267" i="268"/>
  <c r="I267" i="268"/>
  <c r="H267" i="268"/>
  <c r="G267" i="268"/>
  <c r="F267" i="268"/>
  <c r="E267" i="268"/>
  <c r="D267" i="268"/>
  <c r="V266" i="268"/>
  <c r="L266" i="268"/>
  <c r="V265" i="268"/>
  <c r="L265" i="268"/>
  <c r="V264" i="268"/>
  <c r="L264" i="268"/>
  <c r="V263" i="268"/>
  <c r="L263" i="268"/>
  <c r="V262" i="268"/>
  <c r="L262" i="268"/>
  <c r="V261" i="268"/>
  <c r="L261" i="268"/>
  <c r="U260" i="268"/>
  <c r="T260" i="268"/>
  <c r="S260" i="268"/>
  <c r="R260" i="268"/>
  <c r="Q260" i="268"/>
  <c r="P260" i="268"/>
  <c r="O260" i="268"/>
  <c r="N260" i="268"/>
  <c r="K260" i="268"/>
  <c r="J260" i="268"/>
  <c r="I260" i="268"/>
  <c r="H260" i="268"/>
  <c r="G260" i="268"/>
  <c r="F260" i="268"/>
  <c r="E260" i="268"/>
  <c r="D260" i="268"/>
  <c r="V259" i="268"/>
  <c r="L259" i="268"/>
  <c r="V258" i="268"/>
  <c r="L258" i="268"/>
  <c r="V257" i="268"/>
  <c r="L257" i="268"/>
  <c r="V256" i="268"/>
  <c r="L256" i="268"/>
  <c r="V255" i="268"/>
  <c r="L255" i="268"/>
  <c r="V254" i="268"/>
  <c r="L254" i="268"/>
  <c r="U253" i="268"/>
  <c r="T253" i="268"/>
  <c r="S253" i="268"/>
  <c r="R253" i="268"/>
  <c r="Q253" i="268"/>
  <c r="P253" i="268"/>
  <c r="O253" i="268"/>
  <c r="N253" i="268"/>
  <c r="K253" i="268"/>
  <c r="J253" i="268"/>
  <c r="I253" i="268"/>
  <c r="H253" i="268"/>
  <c r="G253" i="268"/>
  <c r="F253" i="268"/>
  <c r="E253" i="268"/>
  <c r="V252" i="268"/>
  <c r="L252" i="268"/>
  <c r="V251" i="268"/>
  <c r="L251" i="268"/>
  <c r="V250" i="268"/>
  <c r="L250" i="268"/>
  <c r="V249" i="268"/>
  <c r="V248" i="268"/>
  <c r="L248" i="268"/>
  <c r="V247" i="268"/>
  <c r="L247" i="268"/>
  <c r="U246" i="268"/>
  <c r="T246" i="268"/>
  <c r="S246" i="268"/>
  <c r="R246" i="268"/>
  <c r="Q246" i="268"/>
  <c r="P246" i="268"/>
  <c r="O246" i="268"/>
  <c r="N246" i="268"/>
  <c r="K246" i="268"/>
  <c r="J246" i="268"/>
  <c r="I246" i="268"/>
  <c r="H246" i="268"/>
  <c r="G246" i="268"/>
  <c r="F246" i="268"/>
  <c r="E246" i="268"/>
  <c r="D246" i="268"/>
  <c r="V245" i="268"/>
  <c r="L245" i="268"/>
  <c r="V244" i="268"/>
  <c r="L244" i="268"/>
  <c r="V243" i="268"/>
  <c r="L243" i="268"/>
  <c r="V242" i="268"/>
  <c r="L242" i="268"/>
  <c r="V241" i="268"/>
  <c r="L241" i="268"/>
  <c r="L240" i="268"/>
  <c r="U239" i="268"/>
  <c r="T239" i="268"/>
  <c r="S239" i="268"/>
  <c r="R239" i="268"/>
  <c r="Q239" i="268"/>
  <c r="P239" i="268"/>
  <c r="O239" i="268"/>
  <c r="N239" i="268"/>
  <c r="K239" i="268"/>
  <c r="J239" i="268"/>
  <c r="I239" i="268"/>
  <c r="H239" i="268"/>
  <c r="G239" i="268"/>
  <c r="F239" i="268"/>
  <c r="E239" i="268"/>
  <c r="D239" i="268"/>
  <c r="V238" i="268"/>
  <c r="L238" i="268"/>
  <c r="V237" i="268"/>
  <c r="L237" i="268"/>
  <c r="V236" i="268"/>
  <c r="L236" i="268"/>
  <c r="V235" i="268"/>
  <c r="L235" i="268"/>
  <c r="V234" i="268"/>
  <c r="L234" i="268"/>
  <c r="V233" i="268"/>
  <c r="L233" i="268"/>
  <c r="U232" i="268"/>
  <c r="T232" i="268"/>
  <c r="S232" i="268"/>
  <c r="R232" i="268"/>
  <c r="Q232" i="268"/>
  <c r="P232" i="268"/>
  <c r="N232" i="268"/>
  <c r="K232" i="268"/>
  <c r="J232" i="268"/>
  <c r="I232" i="268"/>
  <c r="H232" i="268"/>
  <c r="F232" i="268"/>
  <c r="E232" i="268"/>
  <c r="D232" i="268"/>
  <c r="V231" i="268"/>
  <c r="L231" i="268"/>
  <c r="V230" i="268"/>
  <c r="L230" i="268"/>
  <c r="L229" i="268"/>
  <c r="V228" i="268"/>
  <c r="L228" i="268"/>
  <c r="V227" i="268"/>
  <c r="L227" i="268"/>
  <c r="V226" i="268"/>
  <c r="L226" i="268"/>
  <c r="U225" i="268"/>
  <c r="T225" i="268"/>
  <c r="S225" i="268"/>
  <c r="R225" i="268"/>
  <c r="Q225" i="268"/>
  <c r="P225" i="268"/>
  <c r="O225" i="268"/>
  <c r="N225" i="268"/>
  <c r="K225" i="268"/>
  <c r="J225" i="268"/>
  <c r="I225" i="268"/>
  <c r="H225" i="268"/>
  <c r="G225" i="268"/>
  <c r="F225" i="268"/>
  <c r="E225" i="268"/>
  <c r="D225" i="268"/>
  <c r="V224" i="268"/>
  <c r="L224" i="268"/>
  <c r="V223" i="268"/>
  <c r="L223" i="268"/>
  <c r="V222" i="268"/>
  <c r="L222" i="268"/>
  <c r="V221" i="268"/>
  <c r="L221" i="268"/>
  <c r="V220" i="268"/>
  <c r="L220" i="268"/>
  <c r="V219" i="268"/>
  <c r="L219" i="268"/>
  <c r="U218" i="268"/>
  <c r="T218" i="268"/>
  <c r="S218" i="268"/>
  <c r="R218" i="268"/>
  <c r="Q218" i="268"/>
  <c r="P218" i="268"/>
  <c r="O218" i="268"/>
  <c r="N218" i="268"/>
  <c r="K218" i="268"/>
  <c r="J218" i="268"/>
  <c r="I218" i="268"/>
  <c r="H218" i="268"/>
  <c r="G218" i="268"/>
  <c r="F218" i="268"/>
  <c r="E218" i="268"/>
  <c r="V217" i="268"/>
  <c r="L217" i="268"/>
  <c r="V216" i="268"/>
  <c r="L216" i="268"/>
  <c r="V215" i="268"/>
  <c r="L215" i="268"/>
  <c r="V214" i="268"/>
  <c r="L214" i="268"/>
  <c r="V213" i="268"/>
  <c r="L213" i="268"/>
  <c r="D218" i="268"/>
  <c r="V212" i="268"/>
  <c r="L212" i="268"/>
  <c r="U211" i="268"/>
  <c r="T211" i="268"/>
  <c r="S211" i="268"/>
  <c r="R211" i="268"/>
  <c r="Q211" i="268"/>
  <c r="P211" i="268"/>
  <c r="O211" i="268"/>
  <c r="N211" i="268"/>
  <c r="K211" i="268"/>
  <c r="J211" i="268"/>
  <c r="I211" i="268"/>
  <c r="H211" i="268"/>
  <c r="G211" i="268"/>
  <c r="F211" i="268"/>
  <c r="E211" i="268"/>
  <c r="D211" i="268"/>
  <c r="V210" i="268"/>
  <c r="L210" i="268"/>
  <c r="V209" i="268"/>
  <c r="L209" i="268"/>
  <c r="V208" i="268"/>
  <c r="L208" i="268"/>
  <c r="V207" i="268"/>
  <c r="L207" i="268"/>
  <c r="V206" i="268"/>
  <c r="L206" i="268"/>
  <c r="V205" i="268"/>
  <c r="L205" i="268"/>
  <c r="U204" i="268"/>
  <c r="T204" i="268"/>
  <c r="S204" i="268"/>
  <c r="R204" i="268"/>
  <c r="Q204" i="268"/>
  <c r="P204" i="268"/>
  <c r="O204" i="268"/>
  <c r="N204" i="268"/>
  <c r="K204" i="268"/>
  <c r="J204" i="268"/>
  <c r="I204" i="268"/>
  <c r="H204" i="268"/>
  <c r="G204" i="268"/>
  <c r="F204" i="268"/>
  <c r="E204" i="268"/>
  <c r="D204" i="268"/>
  <c r="V203" i="268"/>
  <c r="L203" i="268"/>
  <c r="V202" i="268"/>
  <c r="L202" i="268"/>
  <c r="V201" i="268"/>
  <c r="L201" i="268"/>
  <c r="V200" i="268"/>
  <c r="L200" i="268"/>
  <c r="V199" i="268"/>
  <c r="L199" i="268"/>
  <c r="V198" i="268"/>
  <c r="L198" i="268"/>
  <c r="U197" i="268"/>
  <c r="T197" i="268"/>
  <c r="S197" i="268"/>
  <c r="R197" i="268"/>
  <c r="Q197" i="268"/>
  <c r="P197" i="268"/>
  <c r="O197" i="268"/>
  <c r="N197" i="268"/>
  <c r="K197" i="268"/>
  <c r="J197" i="268"/>
  <c r="I197" i="268"/>
  <c r="H197" i="268"/>
  <c r="G197" i="268"/>
  <c r="F197" i="268"/>
  <c r="E197" i="268"/>
  <c r="D197" i="268"/>
  <c r="V196" i="268"/>
  <c r="L196" i="268"/>
  <c r="V195" i="268"/>
  <c r="L195" i="268"/>
  <c r="V194" i="268"/>
  <c r="L194" i="268"/>
  <c r="V193" i="268"/>
  <c r="L193" i="268"/>
  <c r="V192" i="268"/>
  <c r="L192" i="268"/>
  <c r="V191" i="268"/>
  <c r="L191" i="268"/>
  <c r="U190" i="268"/>
  <c r="T190" i="268"/>
  <c r="S190" i="268"/>
  <c r="R190" i="268"/>
  <c r="Q190" i="268"/>
  <c r="P190" i="268"/>
  <c r="O190" i="268"/>
  <c r="N190" i="268"/>
  <c r="K190" i="268"/>
  <c r="J190" i="268"/>
  <c r="I190" i="268"/>
  <c r="H190" i="268"/>
  <c r="G190" i="268"/>
  <c r="F190" i="268"/>
  <c r="E190" i="268"/>
  <c r="D190" i="268"/>
  <c r="V189" i="268"/>
  <c r="L189" i="268"/>
  <c r="V188" i="268"/>
  <c r="L188" i="268"/>
  <c r="V187" i="268"/>
  <c r="L187" i="268"/>
  <c r="V186" i="268"/>
  <c r="L186" i="268"/>
  <c r="V185" i="268"/>
  <c r="L185" i="268"/>
  <c r="V184" i="268"/>
  <c r="L184" i="268"/>
  <c r="U183" i="268"/>
  <c r="T183" i="268"/>
  <c r="S183" i="268"/>
  <c r="R183" i="268"/>
  <c r="Q183" i="268"/>
  <c r="P183" i="268"/>
  <c r="O183" i="268"/>
  <c r="N183" i="268"/>
  <c r="K183" i="268"/>
  <c r="J183" i="268"/>
  <c r="I183" i="268"/>
  <c r="H183" i="268"/>
  <c r="G183" i="268"/>
  <c r="F183" i="268"/>
  <c r="E183" i="268"/>
  <c r="D183" i="268"/>
  <c r="V182" i="268"/>
  <c r="L182" i="268"/>
  <c r="V181" i="268"/>
  <c r="L181" i="268"/>
  <c r="V180" i="268"/>
  <c r="L180" i="268"/>
  <c r="V179" i="268"/>
  <c r="L179" i="268"/>
  <c r="V178" i="268"/>
  <c r="L178" i="268"/>
  <c r="V177" i="268"/>
  <c r="L177" i="268"/>
  <c r="U176" i="268"/>
  <c r="T176" i="268"/>
  <c r="S176" i="268"/>
  <c r="R176" i="268"/>
  <c r="Q176" i="268"/>
  <c r="P176" i="268"/>
  <c r="O176" i="268"/>
  <c r="N176" i="268"/>
  <c r="K176" i="268"/>
  <c r="J176" i="268"/>
  <c r="I176" i="268"/>
  <c r="H176" i="268"/>
  <c r="G176" i="268"/>
  <c r="F176" i="268"/>
  <c r="E176" i="268"/>
  <c r="D176" i="268"/>
  <c r="V175" i="268"/>
  <c r="L175" i="268"/>
  <c r="V174" i="268"/>
  <c r="L174" i="268"/>
  <c r="V173" i="268"/>
  <c r="L173" i="268"/>
  <c r="V172" i="268"/>
  <c r="L172" i="268"/>
  <c r="V171" i="268"/>
  <c r="L171" i="268"/>
  <c r="V170" i="268"/>
  <c r="L170" i="268"/>
  <c r="U169" i="268"/>
  <c r="T169" i="268"/>
  <c r="S169" i="268"/>
  <c r="R169" i="268"/>
  <c r="Q169" i="268"/>
  <c r="P169" i="268"/>
  <c r="O169" i="268"/>
  <c r="N169" i="268"/>
  <c r="K169" i="268"/>
  <c r="J169" i="268"/>
  <c r="I169" i="268"/>
  <c r="H169" i="268"/>
  <c r="G169" i="268"/>
  <c r="F169" i="268"/>
  <c r="E169" i="268"/>
  <c r="D169" i="268"/>
  <c r="V168" i="268"/>
  <c r="L168" i="268"/>
  <c r="V167" i="268"/>
  <c r="L167" i="268"/>
  <c r="V166" i="268"/>
  <c r="L166" i="268"/>
  <c r="V165" i="268"/>
  <c r="L165" i="268"/>
  <c r="V164" i="268"/>
  <c r="L164" i="268"/>
  <c r="V163" i="268"/>
  <c r="L163" i="268"/>
  <c r="U162" i="268"/>
  <c r="T162" i="268"/>
  <c r="S162" i="268"/>
  <c r="R162" i="268"/>
  <c r="Q162" i="268"/>
  <c r="P162" i="268"/>
  <c r="O162" i="268"/>
  <c r="N162" i="268"/>
  <c r="K162" i="268"/>
  <c r="J162" i="268"/>
  <c r="I162" i="268"/>
  <c r="H162" i="268"/>
  <c r="G162" i="268"/>
  <c r="F162" i="268"/>
  <c r="E162" i="268"/>
  <c r="D162" i="268"/>
  <c r="V161" i="268"/>
  <c r="L161" i="268"/>
  <c r="V160" i="268"/>
  <c r="L160" i="268"/>
  <c r="V159" i="268"/>
  <c r="L159" i="268"/>
  <c r="V158" i="268"/>
  <c r="L158" i="268"/>
  <c r="V157" i="268"/>
  <c r="L157" i="268"/>
  <c r="V156" i="268"/>
  <c r="L156" i="268"/>
  <c r="U155" i="268"/>
  <c r="T155" i="268"/>
  <c r="S155" i="268"/>
  <c r="R155" i="268"/>
  <c r="Q155" i="268"/>
  <c r="P155" i="268"/>
  <c r="O155" i="268"/>
  <c r="N155" i="268"/>
  <c r="K155" i="268"/>
  <c r="J155" i="268"/>
  <c r="I155" i="268"/>
  <c r="H155" i="268"/>
  <c r="G155" i="268"/>
  <c r="F155" i="268"/>
  <c r="E155" i="268"/>
  <c r="D155" i="268"/>
  <c r="V154" i="268"/>
  <c r="L154" i="268"/>
  <c r="V153" i="268"/>
  <c r="L153" i="268"/>
  <c r="V152" i="268"/>
  <c r="L152" i="268"/>
  <c r="V151" i="268"/>
  <c r="L151" i="268"/>
  <c r="V150" i="268"/>
  <c r="L150" i="268"/>
  <c r="L129" i="268" s="1"/>
  <c r="V149" i="268"/>
  <c r="L149" i="268"/>
  <c r="U148" i="268"/>
  <c r="T148" i="268"/>
  <c r="S148" i="268"/>
  <c r="R148" i="268"/>
  <c r="Q148" i="268"/>
  <c r="P148" i="268"/>
  <c r="O148" i="268"/>
  <c r="N148" i="268"/>
  <c r="K148" i="268"/>
  <c r="J148" i="268"/>
  <c r="I148" i="268"/>
  <c r="H148" i="268"/>
  <c r="G148" i="268"/>
  <c r="F148" i="268"/>
  <c r="E148" i="268"/>
  <c r="D148" i="268"/>
  <c r="V147" i="268"/>
  <c r="L147" i="268"/>
  <c r="V146" i="268"/>
  <c r="V132" i="268" s="1"/>
  <c r="L146" i="268"/>
  <c r="V145" i="268"/>
  <c r="L145" i="268"/>
  <c r="V144" i="268"/>
  <c r="V130" i="268" s="1"/>
  <c r="L144" i="268"/>
  <c r="V143" i="268"/>
  <c r="V142" i="268"/>
  <c r="U78" i="268"/>
  <c r="T78" i="268"/>
  <c r="S78" i="268"/>
  <c r="P78" i="268"/>
  <c r="N78" i="268"/>
  <c r="K78" i="268"/>
  <c r="U54" i="268"/>
  <c r="T54" i="268"/>
  <c r="S54" i="268"/>
  <c r="R54" i="268"/>
  <c r="Q54" i="268"/>
  <c r="P54" i="268"/>
  <c r="O54" i="268"/>
  <c r="N54" i="268"/>
  <c r="K54" i="268"/>
  <c r="J54" i="268"/>
  <c r="I54" i="268"/>
  <c r="H54" i="268"/>
  <c r="G54" i="268"/>
  <c r="F54" i="268"/>
  <c r="E54" i="268"/>
  <c r="D54" i="268"/>
  <c r="V53" i="268"/>
  <c r="L53" i="268"/>
  <c r="V52" i="268"/>
  <c r="L52" i="268"/>
  <c r="V51" i="268"/>
  <c r="L51" i="268"/>
  <c r="V50" i="268"/>
  <c r="L50" i="268"/>
  <c r="V49" i="268"/>
  <c r="L49" i="268"/>
  <c r="V48" i="268"/>
  <c r="L48" i="268"/>
  <c r="U46" i="268"/>
  <c r="T46" i="268"/>
  <c r="S46" i="268"/>
  <c r="R46" i="268"/>
  <c r="Q46" i="268"/>
  <c r="P46" i="268"/>
  <c r="O46" i="268"/>
  <c r="N46" i="268"/>
  <c r="K46" i="268"/>
  <c r="J46" i="268"/>
  <c r="I46" i="268"/>
  <c r="H46" i="268"/>
  <c r="G46" i="268"/>
  <c r="F46" i="268"/>
  <c r="E46" i="268"/>
  <c r="D46" i="268"/>
  <c r="V45" i="268"/>
  <c r="L45" i="268"/>
  <c r="V44" i="268"/>
  <c r="L44" i="268"/>
  <c r="V43" i="268"/>
  <c r="L43" i="268"/>
  <c r="V42" i="268"/>
  <c r="L42" i="268"/>
  <c r="V41" i="268"/>
  <c r="L41" i="268"/>
  <c r="V40" i="268"/>
  <c r="L40" i="268"/>
  <c r="U38" i="268"/>
  <c r="T38" i="268"/>
  <c r="S38" i="268"/>
  <c r="R38" i="268"/>
  <c r="Q38" i="268"/>
  <c r="P38" i="268"/>
  <c r="O38" i="268"/>
  <c r="N38" i="268"/>
  <c r="K38" i="268"/>
  <c r="J38" i="268"/>
  <c r="I38" i="268"/>
  <c r="H38" i="268"/>
  <c r="G38" i="268"/>
  <c r="F38" i="268"/>
  <c r="E38" i="268"/>
  <c r="D38" i="268"/>
  <c r="V37" i="268"/>
  <c r="L37" i="268"/>
  <c r="V36" i="268"/>
  <c r="L36" i="268"/>
  <c r="V35" i="268"/>
  <c r="L35" i="268"/>
  <c r="V34" i="268"/>
  <c r="L34" i="268"/>
  <c r="V33" i="268"/>
  <c r="L33" i="268"/>
  <c r="V32" i="268"/>
  <c r="L32" i="268"/>
  <c r="S30" i="268"/>
  <c r="R30" i="268"/>
  <c r="Q30" i="268"/>
  <c r="P30" i="268"/>
  <c r="O30" i="268"/>
  <c r="N30" i="268"/>
  <c r="I30" i="268"/>
  <c r="H30" i="268"/>
  <c r="G30" i="268"/>
  <c r="F30" i="268"/>
  <c r="E30" i="268"/>
  <c r="D30" i="268"/>
  <c r="V29" i="268"/>
  <c r="L29" i="268"/>
  <c r="V28" i="268"/>
  <c r="L28" i="268"/>
  <c r="V27" i="268"/>
  <c r="L27" i="268"/>
  <c r="V26" i="268"/>
  <c r="L26" i="268"/>
  <c r="V25" i="268"/>
  <c r="L25" i="268"/>
  <c r="V24" i="268"/>
  <c r="L24" i="268"/>
  <c r="S22" i="268"/>
  <c r="R22" i="268"/>
  <c r="Q22" i="268"/>
  <c r="P22" i="268"/>
  <c r="O22" i="268"/>
  <c r="N22" i="268"/>
  <c r="I22" i="268"/>
  <c r="H22" i="268"/>
  <c r="G22" i="268"/>
  <c r="F22" i="268"/>
  <c r="E22" i="268"/>
  <c r="D22" i="268"/>
  <c r="V21" i="268"/>
  <c r="L21" i="268"/>
  <c r="V20" i="268"/>
  <c r="L20" i="268"/>
  <c r="V19" i="268"/>
  <c r="L19" i="268"/>
  <c r="V18" i="268"/>
  <c r="L18" i="268"/>
  <c r="V17" i="268"/>
  <c r="L17" i="268"/>
  <c r="V16" i="268"/>
  <c r="L16" i="268"/>
  <c r="S14" i="268"/>
  <c r="R14" i="268"/>
  <c r="Q14" i="268"/>
  <c r="P14" i="268"/>
  <c r="O14" i="268"/>
  <c r="N14" i="268"/>
  <c r="I14" i="268"/>
  <c r="H14" i="268"/>
  <c r="G14" i="268"/>
  <c r="F14" i="268"/>
  <c r="E14" i="268"/>
  <c r="D14" i="268"/>
  <c r="V13" i="268"/>
  <c r="L13" i="268"/>
  <c r="V12" i="268"/>
  <c r="L12" i="268"/>
  <c r="V11" i="268"/>
  <c r="L11" i="268"/>
  <c r="V10" i="268"/>
  <c r="L10" i="268"/>
  <c r="V9" i="268"/>
  <c r="L9" i="268"/>
  <c r="V8" i="268"/>
  <c r="L8" i="268"/>
  <c r="L136" i="208"/>
  <c r="H136" i="208"/>
  <c r="O136" i="208" s="1"/>
  <c r="L114" i="208"/>
  <c r="H114" i="208"/>
  <c r="L100" i="208"/>
  <c r="H100" i="208"/>
  <c r="F135" i="268"/>
  <c r="F136" i="268" s="1"/>
  <c r="E135" i="268"/>
  <c r="E136" i="268" s="1"/>
  <c r="L9" i="208"/>
  <c r="H9" i="208"/>
  <c r="M6" i="5" l="1"/>
  <c r="H56" i="5"/>
  <c r="O6" i="9"/>
  <c r="H44" i="9"/>
  <c r="V128" i="268"/>
  <c r="L131" i="268"/>
  <c r="L133" i="268"/>
  <c r="V129" i="268"/>
  <c r="V133" i="268"/>
  <c r="L132" i="268"/>
  <c r="L128" i="268"/>
  <c r="K16" i="282"/>
  <c r="H16" i="282"/>
  <c r="L16" i="81" s="1"/>
  <c r="M16" i="81" s="1"/>
  <c r="I15" i="282"/>
  <c r="I16" i="282" s="1"/>
  <c r="N359" i="268"/>
  <c r="N140" i="268" s="1"/>
  <c r="L148" i="268"/>
  <c r="J18" i="279"/>
  <c r="I16" i="274"/>
  <c r="H18" i="279"/>
  <c r="K18" i="279"/>
  <c r="T359" i="268"/>
  <c r="T140" i="268" s="1"/>
  <c r="P359" i="268"/>
  <c r="P140" i="268" s="1"/>
  <c r="Q359" i="268"/>
  <c r="Q140" i="268" s="1"/>
  <c r="U359" i="268"/>
  <c r="U140" i="268" s="1"/>
  <c r="R359" i="268"/>
  <c r="R140" i="268" s="1"/>
  <c r="S359" i="268"/>
  <c r="S140" i="268" s="1"/>
  <c r="L19" i="9"/>
  <c r="O19" i="9" s="1"/>
  <c r="M15" i="281"/>
  <c r="L15" i="80"/>
  <c r="M15" i="80" s="1"/>
  <c r="M9" i="280"/>
  <c r="M15" i="79"/>
  <c r="M17" i="80"/>
  <c r="M20" i="80"/>
  <c r="K14" i="301"/>
  <c r="M14" i="301" s="1"/>
  <c r="M11" i="80"/>
  <c r="M23" i="80"/>
  <c r="M35" i="80"/>
  <c r="M9" i="270"/>
  <c r="M10" i="270"/>
  <c r="K14" i="291"/>
  <c r="M14" i="291" s="1"/>
  <c r="M12" i="279"/>
  <c r="H9" i="250"/>
  <c r="I9" i="250" s="1"/>
  <c r="M20" i="250"/>
  <c r="M15" i="282"/>
  <c r="V14" i="268"/>
  <c r="V30" i="268"/>
  <c r="V38" i="268"/>
  <c r="V46" i="268"/>
  <c r="V54" i="268"/>
  <c r="M21" i="79"/>
  <c r="O21" i="79"/>
  <c r="O8" i="80"/>
  <c r="M32" i="80"/>
  <c r="O32" i="80"/>
  <c r="J16" i="280"/>
  <c r="M15" i="280"/>
  <c r="M23" i="79"/>
  <c r="O23" i="79"/>
  <c r="M13" i="80"/>
  <c r="O13" i="80"/>
  <c r="M16" i="80"/>
  <c r="O16" i="80"/>
  <c r="M30" i="80"/>
  <c r="O30" i="80"/>
  <c r="M14" i="79"/>
  <c r="O14" i="79"/>
  <c r="M16" i="79"/>
  <c r="O16" i="79"/>
  <c r="M19" i="79"/>
  <c r="M14" i="80"/>
  <c r="O14" i="80"/>
  <c r="M19" i="80"/>
  <c r="O19" i="80"/>
  <c r="M21" i="80"/>
  <c r="O21" i="80"/>
  <c r="M24" i="80"/>
  <c r="O24" i="80"/>
  <c r="M27" i="80"/>
  <c r="O27" i="80"/>
  <c r="M33" i="80"/>
  <c r="O33" i="80"/>
  <c r="M8" i="270"/>
  <c r="M14" i="270"/>
  <c r="M9" i="279"/>
  <c r="J16" i="281"/>
  <c r="K16" i="280"/>
  <c r="I6" i="250"/>
  <c r="F7" i="250" s="1"/>
  <c r="I7" i="250" s="1"/>
  <c r="M8" i="79"/>
  <c r="M17" i="79"/>
  <c r="O17" i="79"/>
  <c r="M25" i="79"/>
  <c r="O25" i="79"/>
  <c r="M22" i="80"/>
  <c r="O22" i="80"/>
  <c r="M28" i="80"/>
  <c r="O28" i="80"/>
  <c r="M31" i="80"/>
  <c r="O31" i="80"/>
  <c r="M34" i="80"/>
  <c r="O34" i="80"/>
  <c r="I9" i="279"/>
  <c r="K21" i="250"/>
  <c r="M17" i="9"/>
  <c r="M9" i="9"/>
  <c r="O28" i="9"/>
  <c r="O12" i="81"/>
  <c r="M9" i="81"/>
  <c r="M18" i="81"/>
  <c r="M21" i="81"/>
  <c r="M20" i="81"/>
  <c r="O20" i="81"/>
  <c r="M6" i="9"/>
  <c r="O13" i="9"/>
  <c r="M20" i="9"/>
  <c r="M27" i="9"/>
  <c r="O8" i="9"/>
  <c r="M7" i="9"/>
  <c r="M15" i="9"/>
  <c r="M21" i="9"/>
  <c r="O9" i="208"/>
  <c r="M100" i="208"/>
  <c r="M112" i="208" s="1"/>
  <c r="G135" i="268" s="1"/>
  <c r="G136" i="268" s="1"/>
  <c r="M114" i="208"/>
  <c r="M133" i="208" s="1"/>
  <c r="H135" i="268" s="1"/>
  <c r="H136" i="268" s="1"/>
  <c r="M20" i="4"/>
  <c r="M22" i="4"/>
  <c r="M10" i="4"/>
  <c r="P10" i="4"/>
  <c r="M24" i="4"/>
  <c r="P24" i="4"/>
  <c r="M19" i="4"/>
  <c r="O100" i="208"/>
  <c r="M9" i="4"/>
  <c r="P9" i="4"/>
  <c r="M14" i="4"/>
  <c r="P14" i="4"/>
  <c r="M32" i="4"/>
  <c r="P32" i="4"/>
  <c r="L30" i="268"/>
  <c r="L14" i="268"/>
  <c r="J359" i="268"/>
  <c r="J140" i="268" s="1"/>
  <c r="V148" i="268"/>
  <c r="L155" i="268"/>
  <c r="L169" i="268"/>
  <c r="V169" i="268"/>
  <c r="L176" i="268"/>
  <c r="V176" i="268"/>
  <c r="L190" i="268"/>
  <c r="V190" i="268"/>
  <c r="L204" i="268"/>
  <c r="V204" i="268"/>
  <c r="L211" i="268"/>
  <c r="V211" i="268"/>
  <c r="V218" i="268"/>
  <c r="V225" i="268"/>
  <c r="K359" i="268"/>
  <c r="K140" i="268" s="1"/>
  <c r="L295" i="268"/>
  <c r="V295" i="268"/>
  <c r="L309" i="268"/>
  <c r="V309" i="268"/>
  <c r="L316" i="268"/>
  <c r="V316" i="268"/>
  <c r="L323" i="268"/>
  <c r="L330" i="268"/>
  <c r="V330" i="268"/>
  <c r="L351" i="268"/>
  <c r="V351" i="268"/>
  <c r="L358" i="268"/>
  <c r="F359" i="268"/>
  <c r="F140" i="268" s="1"/>
  <c r="V260" i="268"/>
  <c r="V274" i="268"/>
  <c r="L281" i="268"/>
  <c r="V288" i="268"/>
  <c r="V239" i="268"/>
  <c r="V162" i="268"/>
  <c r="L218" i="268"/>
  <c r="L225" i="268"/>
  <c r="V22" i="268"/>
  <c r="L22" i="268"/>
  <c r="L38" i="268"/>
  <c r="L54" i="268"/>
  <c r="G78" i="268"/>
  <c r="D78" i="268"/>
  <c r="L260" i="268"/>
  <c r="I78" i="268"/>
  <c r="F78" i="268"/>
  <c r="M7" i="79"/>
  <c r="M11" i="79"/>
  <c r="Q78" i="268"/>
  <c r="V253" i="268"/>
  <c r="J78" i="268"/>
  <c r="R78" i="268"/>
  <c r="M136" i="208"/>
  <c r="O6" i="79"/>
  <c r="M6" i="79"/>
  <c r="O17" i="81"/>
  <c r="M17" i="81"/>
  <c r="O78" i="268"/>
  <c r="V229" i="268"/>
  <c r="V131" i="268" s="1"/>
  <c r="I359" i="268"/>
  <c r="I140" i="268" s="1"/>
  <c r="O9" i="79"/>
  <c r="M9" i="79"/>
  <c r="O8" i="81"/>
  <c r="M8" i="81"/>
  <c r="O232" i="268"/>
  <c r="V323" i="268"/>
  <c r="L337" i="268"/>
  <c r="M9" i="208"/>
  <c r="L46" i="268"/>
  <c r="L183" i="268"/>
  <c r="V183" i="268"/>
  <c r="L267" i="268"/>
  <c r="V267" i="268"/>
  <c r="L274" i="268"/>
  <c r="V337" i="268"/>
  <c r="L344" i="268"/>
  <c r="V344" i="268"/>
  <c r="O11" i="9"/>
  <c r="M11" i="9"/>
  <c r="V155" i="268"/>
  <c r="L162" i="268"/>
  <c r="L197" i="268"/>
  <c r="V197" i="268"/>
  <c r="V281" i="268"/>
  <c r="L288" i="268"/>
  <c r="L302" i="268"/>
  <c r="V302" i="268"/>
  <c r="V358" i="268"/>
  <c r="O14" i="9"/>
  <c r="M14" i="9"/>
  <c r="O13" i="79"/>
  <c r="M13" i="79"/>
  <c r="O13" i="81"/>
  <c r="M13" i="81"/>
  <c r="O7" i="270"/>
  <c r="M7" i="270"/>
  <c r="G232" i="268"/>
  <c r="G359" i="268" s="1"/>
  <c r="G140" i="268" s="1"/>
  <c r="E359" i="268"/>
  <c r="E140" i="268" s="1"/>
  <c r="H359" i="268"/>
  <c r="H140" i="268" s="1"/>
  <c r="M18" i="5"/>
  <c r="M6" i="4"/>
  <c r="M8" i="4"/>
  <c r="M10" i="79"/>
  <c r="H49" i="80"/>
  <c r="O6" i="81"/>
  <c r="M14" i="81"/>
  <c r="I14" i="301"/>
  <c r="O7" i="81"/>
  <c r="M7" i="81"/>
  <c r="O16" i="81"/>
  <c r="H44" i="81"/>
  <c r="H46" i="270"/>
  <c r="O6" i="270"/>
  <c r="M6" i="270"/>
  <c r="H10" i="271"/>
  <c r="M16" i="282"/>
  <c r="M9" i="281"/>
  <c r="H16" i="280"/>
  <c r="I9" i="280"/>
  <c r="K16" i="274"/>
  <c r="M16" i="274" s="1"/>
  <c r="J21" i="250"/>
  <c r="M9" i="282"/>
  <c r="H16" i="281"/>
  <c r="V246" i="268"/>
  <c r="M23" i="5"/>
  <c r="P23" i="5"/>
  <c r="P14" i="5"/>
  <c r="M10" i="5"/>
  <c r="P13" i="5"/>
  <c r="M17" i="5"/>
  <c r="P12" i="5"/>
  <c r="M7" i="5"/>
  <c r="M9" i="5"/>
  <c r="M15" i="5"/>
  <c r="P6" i="5"/>
  <c r="H78" i="268"/>
  <c r="L246" i="268"/>
  <c r="E78" i="268"/>
  <c r="L239" i="268"/>
  <c r="O44" i="9" l="1"/>
  <c r="E137" i="268"/>
  <c r="J137" i="268"/>
  <c r="F137" i="268"/>
  <c r="V134" i="268"/>
  <c r="M151" i="208"/>
  <c r="I135" i="268" s="1"/>
  <c r="I136" i="268" s="1"/>
  <c r="M10" i="271"/>
  <c r="M9" i="250"/>
  <c r="H21" i="250"/>
  <c r="L6" i="81" s="1"/>
  <c r="M6" i="81" s="1"/>
  <c r="M44" i="81" s="1"/>
  <c r="O359" i="268"/>
  <c r="O140" i="268" s="1"/>
  <c r="V140" i="268" s="1"/>
  <c r="M34" i="208"/>
  <c r="D135" i="268" s="1"/>
  <c r="D136" i="268" s="1"/>
  <c r="M19" i="9"/>
  <c r="M44" i="9" s="1"/>
  <c r="O49" i="80"/>
  <c r="L232" i="268"/>
  <c r="M16" i="280"/>
  <c r="L21" i="4"/>
  <c r="P21" i="4" s="1"/>
  <c r="O44" i="81"/>
  <c r="V78" i="268"/>
  <c r="L16" i="5"/>
  <c r="O10" i="271"/>
  <c r="O46" i="79"/>
  <c r="V232" i="268"/>
  <c r="V359" i="268" s="1"/>
  <c r="M16" i="281"/>
  <c r="L18" i="80"/>
  <c r="M18" i="80" s="1"/>
  <c r="M49" i="80" s="1"/>
  <c r="L78" i="268"/>
  <c r="H137" i="268" l="1"/>
  <c r="G137" i="268"/>
  <c r="D137" i="268"/>
  <c r="M21" i="250"/>
  <c r="M16" i="5"/>
  <c r="M56" i="5" s="1"/>
  <c r="L56" i="5"/>
  <c r="P16" i="5"/>
  <c r="P56" i="5" s="1"/>
  <c r="L44" i="9"/>
  <c r="P51" i="4"/>
  <c r="M21" i="4"/>
  <c r="I137" i="268" l="1"/>
  <c r="L182" i="208"/>
  <c r="M182" i="208" s="1"/>
  <c r="L181" i="208" l="1"/>
  <c r="M181" i="208" s="1"/>
  <c r="M202" i="208" l="1"/>
  <c r="K135" i="268" s="1"/>
  <c r="K136" i="268" s="1"/>
  <c r="L136" i="268" l="1"/>
  <c r="L135" i="268"/>
  <c r="L249" i="268"/>
  <c r="L130" i="268" s="1"/>
  <c r="D253" i="268"/>
  <c r="D359" i="268" s="1"/>
  <c r="D140" i="268" s="1"/>
  <c r="L140" i="268" s="1"/>
  <c r="L134" i="268" l="1"/>
  <c r="K137" i="268"/>
  <c r="L137" i="268"/>
  <c r="L253" i="268"/>
  <c r="L359" i="268" s="1"/>
</calcChain>
</file>

<file path=xl/comments1.xml><?xml version="1.0" encoding="utf-8"?>
<comments xmlns="http://schemas.openxmlformats.org/spreadsheetml/2006/main">
  <authors>
    <author>Admin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XONG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2047B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XONG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XONG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1230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1239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NHẬP CHỖ BILL 1569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BILL 2034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550B
</t>
        </r>
      </text>
    </comment>
  </commentList>
</comments>
</file>

<file path=xl/comments10.xml><?xml version="1.0" encoding="utf-8"?>
<comments xmlns="http://schemas.openxmlformats.org/spreadsheetml/2006/main">
  <authors>
    <author>Admin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XUẤT HÀNG TỔN THẤT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CÓ 3T KHO 1.2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XUẤT 16.04.21
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TL chuyển kho 1.1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O28" authorId="0" shapeId="0">
      <text>
        <r>
          <rPr>
            <b/>
            <sz val="9"/>
            <color indexed="81"/>
            <rFont val="Tahoma"/>
            <family val="2"/>
          </rPr>
          <t>BILL 0511D BIVC GÕ NHẦM THÀNH BICV</t>
        </r>
      </text>
    </comment>
    <comment ref="D9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1.1: 272,940
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1.2: 264,660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2.1: 546.790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2.2: 1.485.560</t>
        </r>
      </text>
    </comment>
    <comment ref="I9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2.3: 131.350</t>
        </r>
      </text>
    </comment>
    <comment ref="J9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3.1: 377.120</t>
        </r>
      </text>
    </comment>
    <comment ref="U9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KHO:3.078.420</t>
        </r>
      </text>
    </comment>
    <comment ref="D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1.1: 284,000</t>
        </r>
      </text>
    </comment>
    <comment ref="E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1.2: 128,120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1.3: 25.590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2.1: 78.530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2.2: 334.720</t>
        </r>
      </text>
    </comment>
    <comment ref="J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3.1: 26.950</t>
        </r>
      </text>
    </comment>
    <comment ref="U9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KHO: 887.910</t>
        </r>
      </text>
    </comment>
    <comment ref="D9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1.1: 202,160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1.2: 356,140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1.3: 316.580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1.3: 77.170</t>
        </r>
      </text>
    </comment>
    <comment ref="I9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2.3: 1.807.720</t>
        </r>
      </text>
    </comment>
    <comment ref="U9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KHO: 2.759.770</t>
        </r>
      </text>
    </comment>
    <comment ref="D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1.1: 168,490</t>
        </r>
      </text>
    </comment>
    <comment ref="E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1.2: 507,760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1.3: 379.300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1.3: 116.560</t>
        </r>
      </text>
    </comment>
    <comment ref="H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2.2: 308.940</t>
        </r>
      </text>
    </comment>
    <comment ref="I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2.3: 75.870</t>
        </r>
      </text>
    </comment>
    <comment ref="J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3.1: 599.360</t>
        </r>
      </text>
    </comment>
    <comment ref="U9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KHO:2.156.280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1.2: 106,330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1.3: 550.590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1.3: 482.290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2.2: 441.810</t>
        </r>
      </text>
    </comment>
    <comment ref="I10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2.3: 182.300</t>
        </r>
      </text>
    </comment>
    <comment ref="J10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3.1: 556.220</t>
        </r>
      </text>
    </comment>
    <comment ref="U10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KHO:2.319.540</t>
        </r>
      </text>
    </comment>
    <comment ref="D10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1.1: 927,590</t>
        </r>
      </text>
    </comment>
    <comment ref="E10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1.2: 1,363,010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1.3: 1.272.060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2.1: 1.301.340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2.1: 2.571.030</t>
        </r>
      </text>
    </comment>
    <comment ref="I10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2.3: 2.197.240 </t>
        </r>
      </text>
    </comment>
    <comment ref="J10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3.2 SANG 3.1: 1.559.650</t>
        </r>
      </text>
    </comment>
    <comment ref="U10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KHO: 11.352.620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3.1 qua kho 1.3: 208,960kg</t>
        </r>
      </text>
    </comment>
    <comment ref="T11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chuyển kho 3.1 qua kho 1.3: 208,960kg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Chú ý có 2 bill giống nhau chỉ khác 32022 và bill 42022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P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incl điều ướt xuất nhập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KẾT 1 TK CÒN LẠI 1TK CHƯA KẾT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Chú ý có 2 bill giống nhau chỉ khác 32022 và bill 42022
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P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incl  xuất-nhập điều ướt 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CONT CUỐI NHẬP VÀO KHO 3.1 (26.010) VÌ 1.3 ĐẦY
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H4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GỬI NHỜ 1 CONT KHO 2.3 - 25980KG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GỦI NHỜ 1 CONT KHO 2.2 KL: 28220
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KẾT 1 TỜ KHAI, CÒN LẠI 1 TK CHƯA KẾT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TÂN LONG Đổi qua kho 3.2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 cont chuyển qua kho 1.1. KL: 78.160kg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M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KẾT TỜ KHAI RỒI
</t>
        </r>
      </text>
    </comment>
  </commentList>
</comments>
</file>

<file path=xl/sharedStrings.xml><?xml version="1.0" encoding="utf-8"?>
<sst xmlns="http://schemas.openxmlformats.org/spreadsheetml/2006/main" count="5989" uniqueCount="1137">
  <si>
    <t>STT</t>
  </si>
  <si>
    <t>GHI CHÚ</t>
  </si>
  <si>
    <t>ĐIỀU</t>
  </si>
  <si>
    <t>TÊN HÀNG</t>
  </si>
  <si>
    <t>ĐVT</t>
  </si>
  <si>
    <t>TỔNG SẢN LƯỢNG</t>
  </si>
  <si>
    <t>TỒN 
KỲ ĐẦU</t>
  </si>
  <si>
    <t>NHẬP
 TRONG KỲ</t>
  </si>
  <si>
    <t>XUẤT 
TRONG KỲ</t>
  </si>
  <si>
    <t>TỒN 
CUỐI KỲ</t>
  </si>
  <si>
    <t>KG</t>
  </si>
  <si>
    <t xml:space="preserve">HẠT ĐIỀU BAO </t>
  </si>
  <si>
    <t>20 CONT</t>
  </si>
  <si>
    <t>(GROSS)</t>
  </si>
  <si>
    <t>(NET)</t>
  </si>
  <si>
    <t>14 CONT</t>
  </si>
  <si>
    <t>11 CONT</t>
  </si>
  <si>
    <t>6</t>
  </si>
  <si>
    <t>7</t>
  </si>
  <si>
    <t>8</t>
  </si>
  <si>
    <t>9</t>
  </si>
  <si>
    <t>11</t>
  </si>
  <si>
    <t>15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</si>
  <si>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</si>
  <si>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</si>
  <si>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</si>
  <si>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</si>
  <si>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</si>
  <si>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</si>
  <si>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</si>
  <si>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</si>
  <si>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</si>
  <si>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1</t>
  </si>
  <si>
    <t>2</t>
  </si>
  <si>
    <t>3</t>
  </si>
  <si>
    <t>4</t>
  </si>
  <si>
    <t>5</t>
  </si>
  <si>
    <t>NGÀY
/ THÁNG</t>
  </si>
  <si>
    <t>NGÀY 
/ THÁNG</t>
  </si>
  <si>
    <t>SỐ TỜ KHAI
( SỐ BILL)</t>
  </si>
  <si>
    <t>10 CONT</t>
  </si>
  <si>
    <t>HÀNG ĐÃ NHẬP HẾT BILL</t>
  </si>
  <si>
    <t>HÀNG NHẬP CHƯA XONG BILL</t>
  </si>
  <si>
    <t>GHI CHÚ ĐẶC BIỆT</t>
  </si>
  <si>
    <t>12 CONT</t>
  </si>
  <si>
    <t>CHI TIẾT XUẤT ĐIỀU</t>
  </si>
  <si>
    <t>SỐ BAO</t>
  </si>
  <si>
    <t>SỐ
 LƯỢNG XE</t>
  </si>
  <si>
    <t>SỐ BILL : TAPABJVUT 271541</t>
  </si>
  <si>
    <t>XUẤT</t>
  </si>
  <si>
    <t xml:space="preserve">
 CÒN LAI</t>
  </si>
  <si>
    <t>NỘI BỘ</t>
  </si>
  <si>
    <t>RA KHO</t>
  </si>
  <si>
    <t>VÀO KHO</t>
  </si>
  <si>
    <t>HẠT ĐIỀU BAO</t>
  </si>
  <si>
    <t>TỒN 
CUỐI</t>
  </si>
  <si>
    <t>20CONT</t>
  </si>
  <si>
    <t>1 CONT</t>
  </si>
  <si>
    <t>6 CONT</t>
  </si>
  <si>
    <t xml:space="preserve">TỒN CUỐI
</t>
  </si>
  <si>
    <t xml:space="preserve">TỒN 
CUỐI </t>
  </si>
  <si>
    <t>XUẤT NET</t>
  </si>
  <si>
    <t>CẬP NHẬT</t>
  </si>
  <si>
    <t>BẢNG CHI TIẾT NHẬP- XUẤT - TỒN HÀNG HOÁ</t>
  </si>
  <si>
    <t>TÊN KH</t>
  </si>
  <si>
    <t>VIỆT PHI</t>
  </si>
  <si>
    <t xml:space="preserve">TỜ KHAI :  </t>
  </si>
  <si>
    <t>BBN</t>
  </si>
  <si>
    <t>BẢNG CHI TIẾT NHẬP- XUẤT- TỒN HÀNG HOÁ THEO TỪNG THÁNG</t>
  </si>
  <si>
    <t>NGÀY</t>
  </si>
  <si>
    <t>NHẬP</t>
  </si>
  <si>
    <t>KHO 1.1</t>
  </si>
  <si>
    <t>KHO 1.2</t>
  </si>
  <si>
    <t>KHO 1.3</t>
  </si>
  <si>
    <t>OB</t>
  </si>
  <si>
    <t>SỐ LƯỢNG</t>
  </si>
  <si>
    <t>K. HÀNG</t>
  </si>
  <si>
    <t>H. HOÁ</t>
  </si>
  <si>
    <t>TỔNG</t>
  </si>
  <si>
    <t>TỒNG NGÀY 01</t>
  </si>
  <si>
    <t>TỔNG NGÀY 02</t>
  </si>
  <si>
    <t>TỔNG NGÀY 04</t>
  </si>
  <si>
    <t>TỔNG NGÀY 03</t>
  </si>
  <si>
    <t>TỔNG NGÀY 05</t>
  </si>
  <si>
    <t>TỔNG NGÀY 06</t>
  </si>
  <si>
    <t>TỔNG NGÀY 07</t>
  </si>
  <si>
    <t>TỔNG NGÀY 08</t>
  </si>
  <si>
    <t>TỔNG NGÀY 09</t>
  </si>
  <si>
    <t>TỔNG NGÀY 10</t>
  </si>
  <si>
    <t>TỔNG NGÀY 11</t>
  </si>
  <si>
    <t>TỔNG NGÀY 12</t>
  </si>
  <si>
    <t>TỔNG NGÀY 13</t>
  </si>
  <si>
    <t>TỔNG NGÀY 14</t>
  </si>
  <si>
    <t>TỔNG NGÀY 15</t>
  </si>
  <si>
    <t>TỔNG NGÀY 16</t>
  </si>
  <si>
    <t>TỔNG NGÀY 17</t>
  </si>
  <si>
    <t>TỔNG NGÀY 18</t>
  </si>
  <si>
    <t>TỔNG NGÀY 19</t>
  </si>
  <si>
    <t>TỔNG NGÀY 20</t>
  </si>
  <si>
    <t>TỔNG NGÀY 21</t>
  </si>
  <si>
    <t>TỔNG NGÀY 22</t>
  </si>
  <si>
    <t>TỔNG NGÀY 23</t>
  </si>
  <si>
    <t>TỔNG NGÀY 24</t>
  </si>
  <si>
    <t>TỔNG NGÀY 26</t>
  </si>
  <si>
    <t>TỔNG NGÀY 25</t>
  </si>
  <si>
    <t>TỔNG NGÀY 27</t>
  </si>
  <si>
    <t>TỔNG NGÀY 28</t>
  </si>
  <si>
    <t>TỔNG NGÀY 29</t>
  </si>
  <si>
    <t>TỔNG NGÀY 30</t>
  </si>
  <si>
    <t>TỔNG NGÀY 31</t>
  </si>
  <si>
    <t>HÀNG NHẬP/XUẤT CHƯA XONG BILL</t>
  </si>
  <si>
    <t>HÀNG ĐÃ NHẬP/XUẤT HẾT BILL</t>
  </si>
  <si>
    <t>Diện tích</t>
  </si>
  <si>
    <t>3.659 m2</t>
  </si>
  <si>
    <t>Đã xếp</t>
  </si>
  <si>
    <t xml:space="preserve">kg / </t>
  </si>
  <si>
    <t>3.139 m2</t>
  </si>
  <si>
    <t>Lối đi</t>
  </si>
  <si>
    <t>Chỗ trống</t>
  </si>
  <si>
    <t>4.971 m2</t>
  </si>
  <si>
    <t>kg /</t>
  </si>
  <si>
    <t xml:space="preserve"> 4.167 m2</t>
  </si>
  <si>
    <t>420 m2</t>
  </si>
  <si>
    <t>2.683 m2</t>
  </si>
  <si>
    <t xml:space="preserve"> m2</t>
  </si>
  <si>
    <t>TRỐNG</t>
  </si>
  <si>
    <t>UPDATE NGÀY</t>
  </si>
  <si>
    <t>UPDATE</t>
  </si>
  <si>
    <t>490m2</t>
  </si>
  <si>
    <t xml:space="preserve">(GIẤY + THUỐC) BILL ĐÃ XUẤT </t>
  </si>
  <si>
    <t>KHO</t>
  </si>
  <si>
    <t>TỔNG GIẤY + THUỐC KHO 1.1</t>
  </si>
  <si>
    <t>TỔNG GIẤY + THUỐC KHO 1.2</t>
  </si>
  <si>
    <t>TỔNG GIẤY + THUỐC KHO 1.3</t>
  </si>
  <si>
    <t>VP</t>
  </si>
  <si>
    <t>1-20CONT-1569</t>
  </si>
  <si>
    <t>1 LÔ 3 CONT</t>
  </si>
  <si>
    <t>THỰC TRỐNG</t>
  </si>
  <si>
    <t>CAVI</t>
  </si>
  <si>
    <t>1 LÔ 2 CONT</t>
  </si>
  <si>
    <t>1 LÔ -3CONT -7160</t>
  </si>
  <si>
    <t>1 LỐ -20CONT-1700</t>
  </si>
  <si>
    <t>1 LÔ -20 CONT 023B</t>
  </si>
  <si>
    <t>1 LÔ -28 CONT-460C</t>
  </si>
  <si>
    <t>1 LÔ 6 CONT</t>
  </si>
  <si>
    <t>1-16CONT-734A</t>
  </si>
  <si>
    <t>ĐANG NHẬP-XUẤT</t>
  </si>
  <si>
    <t>1-20 CONT-1564</t>
  </si>
  <si>
    <t>1-16 CONT-2047</t>
  </si>
  <si>
    <t>1- 20CONT-1563</t>
  </si>
  <si>
    <t>1- 20CONT-1579</t>
  </si>
  <si>
    <t>1-20CONT-2348</t>
  </si>
  <si>
    <t>1-20CONT-1810</t>
  </si>
  <si>
    <t>1-10CONT-542C</t>
  </si>
  <si>
    <t>1-20CONT-4162</t>
  </si>
  <si>
    <t>1 18CONT-2444</t>
  </si>
  <si>
    <t>1 LÔ 10 CONT</t>
  </si>
  <si>
    <t>1 LÔ 20CONT</t>
  </si>
  <si>
    <t>1- 20CONT-533A</t>
  </si>
  <si>
    <t>1- LÔ 10 CONT-542C</t>
  </si>
  <si>
    <t>1 LÔ 18 CONT</t>
  </si>
  <si>
    <t>1 LÔ 19 CONT-0553</t>
  </si>
  <si>
    <t>1 LÔ -19CONT-531G</t>
  </si>
  <si>
    <t>19 CONT</t>
  </si>
  <si>
    <t>1 LÔ -5 CONT</t>
  </si>
  <si>
    <t>1 LÔ- 16 CONT-734A</t>
  </si>
  <si>
    <t>1 LÔ -1 CONT</t>
  </si>
  <si>
    <t>BIVC QT</t>
  </si>
  <si>
    <t>1 LÔ 14 CONT 1239</t>
  </si>
  <si>
    <t>1 LÔ 20 CONT 550B</t>
  </si>
  <si>
    <t>1 LÔ 19 CONT-1230</t>
  </si>
  <si>
    <t>1 LÔ 12 CONT</t>
  </si>
  <si>
    <t>1 12CONT-3360</t>
  </si>
  <si>
    <t>1 3CONT-698E</t>
  </si>
  <si>
    <t>1 LÔ 3CONT</t>
  </si>
  <si>
    <t>2 LÔ -20 CONT</t>
  </si>
  <si>
    <t>1-20CONT</t>
  </si>
  <si>
    <t>1-1CONT 2047A</t>
  </si>
  <si>
    <t>1-2CONT 2047B</t>
  </si>
  <si>
    <t>8 CONT 509F</t>
  </si>
  <si>
    <t>2 LÔ 20 CONT 550C</t>
  </si>
  <si>
    <t>1-14 CONT</t>
  </si>
  <si>
    <t>1-14CONT 5545</t>
  </si>
  <si>
    <t>CV</t>
  </si>
  <si>
    <t>21.11</t>
  </si>
  <si>
    <t>7 CONT</t>
  </si>
  <si>
    <t>BIVC</t>
  </si>
  <si>
    <t>103673711151(AEV0161368B)</t>
  </si>
  <si>
    <t>KHO 2.1</t>
  </si>
  <si>
    <t>KHO 2.2</t>
  </si>
  <si>
    <t>KHO 2.3</t>
  </si>
  <si>
    <t>TỔNG ĐIỀU 6 KHO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</si>
  <si>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</si>
  <si>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</si>
  <si>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</si>
  <si>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</si>
  <si>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</si>
  <si>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</si>
  <si>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</si>
  <si>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</si>
  <si>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</si>
  <si>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</si>
  <si>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</si>
  <si>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</si>
  <si>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3 CONT</t>
  </si>
  <si>
    <t>BIVCQT</t>
  </si>
  <si>
    <t>06.12</t>
  </si>
  <si>
    <t>07.12</t>
  </si>
  <si>
    <t>103697646401 (204941375)</t>
  </si>
  <si>
    <t xml:space="preserve">TỔNG SẢN LƯỢNG  </t>
  </si>
  <si>
    <t>TÀU</t>
  </si>
  <si>
    <t>09.12</t>
  </si>
  <si>
    <t>103699247961(AEV0161920B)</t>
  </si>
  <si>
    <t>103698414302(AEV0162197)</t>
  </si>
  <si>
    <t>18 CONT</t>
  </si>
  <si>
    <t>10.12</t>
  </si>
  <si>
    <t>103697290911(204941358)</t>
  </si>
  <si>
    <t>12.12</t>
  </si>
  <si>
    <t>103708272031(AEV0160540A)</t>
  </si>
  <si>
    <t>27CONT</t>
  </si>
  <si>
    <t>13.12</t>
  </si>
  <si>
    <t>103701622841 (AEV0161921C)</t>
  </si>
  <si>
    <t>17.12</t>
  </si>
  <si>
    <t>103712619252(MEDUAB114802)</t>
  </si>
  <si>
    <t>26 CONT</t>
  </si>
  <si>
    <t>41</t>
  </si>
  <si>
    <t>42</t>
  </si>
  <si>
    <t>43</t>
  </si>
  <si>
    <t>44</t>
  </si>
  <si>
    <t>45</t>
  </si>
  <si>
    <t>46</t>
  </si>
  <si>
    <t>47</t>
  </si>
  <si>
    <t>15 CONT</t>
  </si>
  <si>
    <t>TỔNG GIẤY + THUỐC KHO 2.1</t>
  </si>
  <si>
    <t>TỔNG GIẤY + THUỐC KHO 2.2</t>
  </si>
  <si>
    <t>TỔNG GIẤY + THUỐC KHO 2.3</t>
  </si>
  <si>
    <t>48</t>
  </si>
  <si>
    <t>49</t>
  </si>
  <si>
    <t>50</t>
  </si>
  <si>
    <t>52</t>
  </si>
  <si>
    <t>17CONT</t>
  </si>
  <si>
    <t>06.01.2021</t>
  </si>
  <si>
    <t>TỔNG SẢN LƯỢNG  TK??</t>
  </si>
  <si>
    <t>1037628444141 (AEV0160786B)</t>
  </si>
  <si>
    <t>TỔNG ĐIỀU + GIẤY THUỐC+ HAO HỤT</t>
  </si>
  <si>
    <t>HÀNG TÀU</t>
  </si>
  <si>
    <t>21.05.21</t>
  </si>
  <si>
    <t>104032558341(CN19/021)</t>
  </si>
  <si>
    <t>28.5.21</t>
  </si>
  <si>
    <t>Từ ngày 01/07/2021
 đến 31/07/2021</t>
  </si>
  <si>
    <t xml:space="preserve">              </t>
  </si>
  <si>
    <t>15.7.21</t>
  </si>
  <si>
    <t>104146163221 (210965150)</t>
  </si>
  <si>
    <t>104147491341 (211000974)</t>
  </si>
  <si>
    <t>16.7.21</t>
  </si>
  <si>
    <t>104145298131 (211215914)</t>
  </si>
  <si>
    <t>104147029231 (210965142)</t>
  </si>
  <si>
    <t>104146220402(211378879)</t>
  </si>
  <si>
    <t>17.07.21</t>
  </si>
  <si>
    <t>18.07.21</t>
  </si>
  <si>
    <t>104147285651(211268745)</t>
  </si>
  <si>
    <t>104148312551(211609467)</t>
  </si>
  <si>
    <t>18.7.21</t>
  </si>
  <si>
    <t>19.07.21</t>
  </si>
  <si>
    <t>104148595021(210972401)</t>
  </si>
  <si>
    <t>104148466661(211600473)</t>
  </si>
  <si>
    <t>104147940631(211609509)</t>
  </si>
  <si>
    <t>2CONT</t>
  </si>
  <si>
    <t>8CONT</t>
  </si>
  <si>
    <t>21.07.21</t>
  </si>
  <si>
    <t>104154650611(210373942)</t>
  </si>
  <si>
    <t>104149541641(COSU6296964460)</t>
  </si>
  <si>
    <t>22.07.21</t>
  </si>
  <si>
    <t>104161014201(MEDUAB163213)</t>
  </si>
  <si>
    <t>104154705761(210379659)</t>
  </si>
  <si>
    <t>104161378641(MEDUTM139902)</t>
  </si>
  <si>
    <t>23.07.21</t>
  </si>
  <si>
    <t>104161163261(AEVO168398)</t>
  </si>
  <si>
    <t>26.07.21</t>
  </si>
  <si>
    <t>104164895551 (210844761)</t>
  </si>
  <si>
    <t>27.07.21</t>
  </si>
  <si>
    <t>104170422641(AEV0168037C)</t>
  </si>
  <si>
    <t>104164712041(AEV0166314C)</t>
  </si>
  <si>
    <t>28.7.21</t>
  </si>
  <si>
    <t>104171055441 (COSU6299237321)</t>
  </si>
  <si>
    <t>10417117461(COSU6301396480)</t>
  </si>
  <si>
    <t>29.7</t>
  </si>
  <si>
    <t>104168659821 (AFIC/SIN/204230)</t>
  </si>
  <si>
    <t>104168633001 (AFIC/SIN/204224)</t>
  </si>
  <si>
    <t>104168711141 (TMA0124899)</t>
  </si>
  <si>
    <t>5 CONT</t>
  </si>
  <si>
    <t>104171899861(CTO0123429)</t>
  </si>
  <si>
    <t>TZAN QT</t>
  </si>
  <si>
    <t>30.07.2021</t>
  </si>
  <si>
    <t>104175128741(AEV0168118A)</t>
  </si>
  <si>
    <t>31.07.21</t>
  </si>
  <si>
    <t>104170272401(210617500)</t>
  </si>
  <si>
    <t>10CONT</t>
  </si>
  <si>
    <t>Từ ngày 01/08/2021
 đến 31/08/2021</t>
  </si>
  <si>
    <t>01/08/2021</t>
  </si>
  <si>
    <t>02.08.21</t>
  </si>
  <si>
    <t>2.08.21</t>
  </si>
  <si>
    <t>104178981541(MEDUTM141700)</t>
  </si>
  <si>
    <t>104178969201(MEDUTM141650)</t>
  </si>
  <si>
    <t>03.08.21</t>
  </si>
  <si>
    <t>104168571252 (OOLU4051899011)</t>
  </si>
  <si>
    <t>104175209021(MEDUTM139464)</t>
  </si>
  <si>
    <t>0B</t>
  </si>
  <si>
    <t>04.08.21</t>
  </si>
  <si>
    <t>05.08.21</t>
  </si>
  <si>
    <t>104186286851(ONEYTEMB00568906)</t>
  </si>
  <si>
    <t>27 CONT</t>
  </si>
  <si>
    <t>06.08.2021</t>
  </si>
  <si>
    <t>104186116161(ONEYTEMB00568901)</t>
  </si>
  <si>
    <t>104188307161(ONEYTEMB00568905)</t>
  </si>
  <si>
    <t>8 CONT</t>
  </si>
  <si>
    <t>104188393961(ONEYTEMB00568903)</t>
  </si>
  <si>
    <t>16 CONT</t>
  </si>
  <si>
    <t>104178993551(MEDUCN017040)</t>
  </si>
  <si>
    <t>07.08.21</t>
  </si>
  <si>
    <t>104188351411 (ONEYTEMB00568904)</t>
  </si>
  <si>
    <t>104167626361(210790214)</t>
  </si>
  <si>
    <t>104167043741(210667646)</t>
  </si>
  <si>
    <t>54</t>
  </si>
  <si>
    <t>56</t>
  </si>
  <si>
    <t>59</t>
  </si>
  <si>
    <t>62</t>
  </si>
  <si>
    <t>8.8.21</t>
  </si>
  <si>
    <t>104167439831 (21066764A)</t>
  </si>
  <si>
    <t>4 CONT</t>
  </si>
  <si>
    <t>08.08.2021</t>
  </si>
  <si>
    <t>104189348061(AEV0168239F)</t>
  </si>
  <si>
    <t>9 CONT</t>
  </si>
  <si>
    <t>09.08.2021</t>
  </si>
  <si>
    <t>9.8.21</t>
  </si>
  <si>
    <t>104188514511 (cosu6302063880)</t>
  </si>
  <si>
    <t>104190457451 (AEV0168239E)</t>
  </si>
  <si>
    <t>10.08.2021</t>
  </si>
  <si>
    <t>104190449861(AEV0168127F)</t>
  </si>
  <si>
    <t>104190457341(AFIC/SIN/204424)</t>
  </si>
  <si>
    <t>10.8.21</t>
  </si>
  <si>
    <t>104194596001 (AEV0169068)</t>
  </si>
  <si>
    <t>11.08.2021</t>
  </si>
  <si>
    <t>104194528651(AEV0168127E)</t>
  </si>
  <si>
    <t>2 CONT</t>
  </si>
  <si>
    <t>104190451741(AEV0169067B)</t>
  </si>
  <si>
    <t>104194796421(AEV0168296)</t>
  </si>
  <si>
    <t>104193930301(AEV0168124D)</t>
  </si>
  <si>
    <t>104194476411 (AEV0169067A)</t>
  </si>
  <si>
    <t>64</t>
  </si>
  <si>
    <t>104193878831(211420738)</t>
  </si>
  <si>
    <t>104188523461(210844010)</t>
  </si>
  <si>
    <t>104193875221(211420731)</t>
  </si>
  <si>
    <t>104188736521(210842452)</t>
  </si>
  <si>
    <t>13.8.21</t>
  </si>
  <si>
    <t>104198595761 (ONEYABJB00318800)</t>
  </si>
  <si>
    <t>104197211311(MEDUCT040358)</t>
  </si>
  <si>
    <t>14.08.21</t>
  </si>
  <si>
    <t>104198561241(MEDUCT040242)</t>
  </si>
  <si>
    <t>15.08.21</t>
  </si>
  <si>
    <t>104200231331(TMA0124738C)</t>
  </si>
  <si>
    <t>104200479461(TMA0124738A)</t>
  </si>
  <si>
    <t>16.08.21</t>
  </si>
  <si>
    <t>16.08.2021</t>
  </si>
  <si>
    <t>17 CONT</t>
  </si>
  <si>
    <t>104188472361 (ONEYABJB00075803)</t>
  </si>
  <si>
    <t>104200419631 (TMA0124738B)</t>
  </si>
  <si>
    <t>104189478151 (AEV0167894C)</t>
  </si>
  <si>
    <t>104188842111 (AEV0168124C)</t>
  </si>
  <si>
    <t>104173217411 (COSU6296964440)</t>
  </si>
  <si>
    <t>104170885711 (CTO0123311)</t>
  </si>
  <si>
    <t>104170157231 (1KT141059)</t>
  </si>
  <si>
    <t>17.08.21</t>
  </si>
  <si>
    <t>104187969801(ONEYABJB00105906)</t>
  </si>
  <si>
    <t>104187647211(ONEYABJB00105902)</t>
  </si>
  <si>
    <t>104205062031(AFIC/SIN/204497)</t>
  </si>
  <si>
    <t>18.08.21</t>
  </si>
  <si>
    <t>104202259121(COSU6300231390)</t>
  </si>
  <si>
    <t>20.08.21</t>
  </si>
  <si>
    <t>104205075111(AFIC/SIN/204481)</t>
  </si>
  <si>
    <t>104200769301(AFIC/SIN/204499)</t>
  </si>
  <si>
    <t>104200647241(AFIC/SIN/204500)</t>
  </si>
  <si>
    <t>104205056211(AFIC/SIN/204498)</t>
  </si>
  <si>
    <t>24.08.21</t>
  </si>
  <si>
    <t>104205470351(ONEYTEMB00773700)</t>
  </si>
  <si>
    <t>104188165321(ONEYTEMB00812801)</t>
  </si>
  <si>
    <t>26.08.21</t>
  </si>
  <si>
    <t>10</t>
  </si>
  <si>
    <t>TỔNG SẢN LƯỢNG TK 0511</t>
  </si>
  <si>
    <t>BILL 9011</t>
  </si>
  <si>
    <t>0</t>
  </si>
  <si>
    <t>TỔNG SẢN LƯỢNG TK …….</t>
  </si>
  <si>
    <t>31.08.21</t>
  </si>
  <si>
    <t>TK: 104218810511</t>
  </si>
  <si>
    <t>104226471861(MEDUTM143979)</t>
  </si>
  <si>
    <t>01.09.21</t>
  </si>
  <si>
    <t>104226481001(MEDUCT0366)</t>
  </si>
  <si>
    <t>02.09.21</t>
  </si>
  <si>
    <t>104226461951(211224798)</t>
  </si>
  <si>
    <t>104226457161(MEDUCN019343)</t>
  </si>
  <si>
    <t>TỔNG GIẤY + THUỐC KHO 1.1( TỪ NGÀY 01 THÁNG 9 NĂM 2021 ĐẾN HẾT NGÀY 30 THÁNG 09 NĂM 2021)</t>
  </si>
  <si>
    <t>07.09.21</t>
  </si>
  <si>
    <t>104228393141(AEV0168283B)</t>
  </si>
  <si>
    <t>13 CONT</t>
  </si>
  <si>
    <t>104230298911(AEV0168285A)</t>
  </si>
  <si>
    <t>09.09.21</t>
  </si>
  <si>
    <t>104226511541 (TMA0124924)</t>
  </si>
  <si>
    <t>65</t>
  </si>
  <si>
    <t>66</t>
  </si>
  <si>
    <t>67</t>
  </si>
  <si>
    <t>68</t>
  </si>
  <si>
    <t>71</t>
  </si>
  <si>
    <t>11.09.21</t>
  </si>
  <si>
    <t>104239640151(AEV0168121F)</t>
  </si>
  <si>
    <t>104239649361(AEV0168470L)</t>
  </si>
  <si>
    <t>14.09.21</t>
  </si>
  <si>
    <t>104242463621(AEV0168470K)</t>
  </si>
  <si>
    <t>104242592861(AEV0168477D)</t>
  </si>
  <si>
    <t>104242258411(AEV0168121C)</t>
  </si>
  <si>
    <t>15.09.21</t>
  </si>
  <si>
    <t>104242407841(AEV0169855)</t>
  </si>
  <si>
    <t>104243814031(AEV0168122F)</t>
  </si>
  <si>
    <t>12</t>
  </si>
  <si>
    <t>13</t>
  </si>
  <si>
    <t>14</t>
  </si>
  <si>
    <t>16</t>
  </si>
  <si>
    <t>17</t>
  </si>
  <si>
    <t>18</t>
  </si>
  <si>
    <t>20</t>
  </si>
  <si>
    <t>104242733451(AEV0168477C)</t>
  </si>
  <si>
    <t>74</t>
  </si>
  <si>
    <t>16.09.21</t>
  </si>
  <si>
    <t>104242789341(AEV0168470F)</t>
  </si>
  <si>
    <t>104234009951(AEV0169746)</t>
  </si>
  <si>
    <t>104242863432(AEV0165966E)</t>
  </si>
  <si>
    <t>104251688001(AFIC/SIN/204520)</t>
  </si>
  <si>
    <t>104248904651( ONEYABJB00275300)</t>
  </si>
  <si>
    <t>17.09.21</t>
  </si>
  <si>
    <t>104248914231(ONEYABJB00276400)</t>
  </si>
  <si>
    <t xml:space="preserve">BIVC </t>
  </si>
  <si>
    <t>104248867441(HLCUDK1210601770)</t>
  </si>
  <si>
    <t>41 CONT</t>
  </si>
  <si>
    <t>21.09.21</t>
  </si>
  <si>
    <t>104254869461(AEV0167895A)</t>
  </si>
  <si>
    <t>104254535601(AEV0168122D)</t>
  </si>
  <si>
    <t>22.09.21</t>
  </si>
  <si>
    <t>18.09.21</t>
  </si>
  <si>
    <t>104251958201(AEV0168042I)</t>
  </si>
  <si>
    <t>23.09.21</t>
  </si>
  <si>
    <t>104254995131(AEV0166095F)</t>
  </si>
  <si>
    <t>104252074401(AEV0166095E)</t>
  </si>
  <si>
    <t>104251898701(AEV0168127I)</t>
  </si>
  <si>
    <t>10455619751 (AEV0168126B)</t>
  </si>
  <si>
    <t>24.09.21</t>
  </si>
  <si>
    <t>104255039561 (AEV0168236B)</t>
  </si>
  <si>
    <t>25.09.21</t>
  </si>
  <si>
    <t>104257285751(AEV0168035J)</t>
  </si>
  <si>
    <t>104255511401(AEV0168122C)</t>
  </si>
  <si>
    <t>26.09.21</t>
  </si>
  <si>
    <t>104256047601(AEV0168035G)</t>
  </si>
  <si>
    <t>104258715411(AEV0168122G)</t>
  </si>
  <si>
    <t>104255520351(AEV0168122E)</t>
  </si>
  <si>
    <t>TZ</t>
  </si>
  <si>
    <r>
      <t>104175077161(AEV01660498)</t>
    </r>
    <r>
      <rPr>
        <sz val="12"/>
        <color rgb="FFFF0000"/>
        <rFont val="Times New Roman"/>
        <family val="1"/>
      </rPr>
      <t>AEV0166049S</t>
    </r>
  </si>
  <si>
    <t>27.09.21</t>
  </si>
  <si>
    <t>104258792961(AEV0168035I)</t>
  </si>
  <si>
    <t>104258753321(AEV0166095H)</t>
  </si>
  <si>
    <t>104262474151(AEV0169005B)</t>
  </si>
  <si>
    <t>28.09.21</t>
  </si>
  <si>
    <t>104262622331(AEV0169005A)</t>
  </si>
  <si>
    <t>104260609941(HLCUDK1210701440)</t>
  </si>
  <si>
    <t>29.09.21</t>
  </si>
  <si>
    <t>104261946021(209343383)</t>
  </si>
  <si>
    <t>104260365311(HLCUDK1210700458)</t>
  </si>
  <si>
    <t>104259623901(HLCUDK1210701026)</t>
  </si>
  <si>
    <t>30.09.21</t>
  </si>
  <si>
    <t>104262170461(210809527)</t>
  </si>
  <si>
    <t>36 CONT</t>
  </si>
  <si>
    <t>104265033351(HLCUDKR210700080)</t>
  </si>
  <si>
    <t>Từ ngày 01/09/2021
 đến 31/09/2021</t>
  </si>
  <si>
    <t>Từ ngày 01/10/2021
 đến 31/10/2021</t>
  </si>
  <si>
    <t>28 CONT</t>
  </si>
  <si>
    <t>01.10.21</t>
  </si>
  <si>
    <t>104260726951(HLCUDK1210700202)</t>
  </si>
  <si>
    <t>02.10.21</t>
  </si>
  <si>
    <t>104265786551(211382496)</t>
  </si>
  <si>
    <t>104264138531(AEV0166095L)</t>
  </si>
  <si>
    <t>104271939221(AEV0169004B)</t>
  </si>
  <si>
    <t>104271753721(AEV0168120E)</t>
  </si>
  <si>
    <t>03.09.21</t>
  </si>
  <si>
    <t>104272283511(AEV0168119C)</t>
  </si>
  <si>
    <t>03.10.21</t>
  </si>
  <si>
    <t>104277349151(AEV0166095I)</t>
  </si>
  <si>
    <t>104269536561(BCU0106853)</t>
  </si>
  <si>
    <t>04.10.21</t>
  </si>
  <si>
    <t>104269594811(BCU0106814)</t>
  </si>
  <si>
    <t>104269392951(BCU0106811)</t>
  </si>
  <si>
    <t>104277426041(AEV0169487)</t>
  </si>
  <si>
    <t>104277517521(AEV0169004A)</t>
  </si>
  <si>
    <t>104277634861(AEV0168119E)</t>
  </si>
  <si>
    <t>05.10.21</t>
  </si>
  <si>
    <t>104272500031(20989092L)</t>
  </si>
  <si>
    <t>104277042221(AEV0167886A)</t>
  </si>
  <si>
    <t>104277045351(AEV0167886B)</t>
  </si>
  <si>
    <t>06.10.21</t>
  </si>
  <si>
    <t>104274230541(211520711)</t>
  </si>
  <si>
    <t>104280477601(COSU6304508320)</t>
  </si>
  <si>
    <t>07.10.21</t>
  </si>
  <si>
    <t>104280482351(COSU63045008328)</t>
  </si>
  <si>
    <t>104273962701(21152823A)</t>
  </si>
  <si>
    <t>104277724021(AEV0168470I)</t>
  </si>
  <si>
    <t>104280488761(COSU6304508750)</t>
  </si>
  <si>
    <t>104279478221(212333248)</t>
  </si>
  <si>
    <t>104280473511(COSU6304508329)</t>
  </si>
  <si>
    <t>08.10.21</t>
  </si>
  <si>
    <t>104279772001(209571616)</t>
  </si>
  <si>
    <t>104282461401(AFIC/SIN/204669)</t>
  </si>
  <si>
    <t>22 CONT</t>
  </si>
  <si>
    <t>104279602011(209556026)</t>
  </si>
  <si>
    <t>107282457421(AFIC/SIN/204671)</t>
  </si>
  <si>
    <t>09.10.21</t>
  </si>
  <si>
    <t>104282467811(AFIC/SIN/204675)</t>
  </si>
  <si>
    <t>10.10.21</t>
  </si>
  <si>
    <t>104281869531(BSS0100528J)</t>
  </si>
  <si>
    <t>104282030901(AFIC/SIN/204519)</t>
  </si>
  <si>
    <t>104282466041(AFIC/SIN/204672)</t>
  </si>
  <si>
    <t>11.10.21</t>
  </si>
  <si>
    <t>104284055851(AEV0166095M)</t>
  </si>
  <si>
    <t>104285777041(AFIC/SIN/204693)</t>
  </si>
  <si>
    <t>104285430431(AEV0168123D)</t>
  </si>
  <si>
    <t>104286108141(AEV0168119D)</t>
  </si>
  <si>
    <t>104285631661(AEV0170079I)</t>
  </si>
  <si>
    <t>12.10.21</t>
  </si>
  <si>
    <t>104286181901(AEV0168743)</t>
  </si>
  <si>
    <t>104290131041(AEV0168394F)</t>
  </si>
  <si>
    <t>104283671811(AEV0170088)</t>
  </si>
  <si>
    <t>104290582101(AFIC/SIN/204575)</t>
  </si>
  <si>
    <t>104285549651(AEV0170079J)</t>
  </si>
  <si>
    <t>104290622111(AFIC/SIN/204595)</t>
  </si>
  <si>
    <t>KHO 3.1</t>
  </si>
  <si>
    <t>KHO 3.2</t>
  </si>
  <si>
    <t>TỔNG GIẤY + THUỐC KHO 3.1</t>
  </si>
  <si>
    <t>TỔNG GIẤY + THUỐC KHO 3.2</t>
  </si>
  <si>
    <t>13.10.21</t>
  </si>
  <si>
    <t>104290705041(AFIC/SIN/204626)</t>
  </si>
  <si>
    <t>104290661751(AFIC/SIN/204596)</t>
  </si>
  <si>
    <t>104290953801(HLCUAB1210800010)</t>
  </si>
  <si>
    <t>104291718861(211411527)</t>
  </si>
  <si>
    <t>104291122611(HLCUAB1210706304)</t>
  </si>
  <si>
    <t>14.10.21</t>
  </si>
  <si>
    <t>104291727851(211144376)</t>
  </si>
  <si>
    <t>104292657011(211144872)</t>
  </si>
  <si>
    <t>104293426531(211811617)</t>
  </si>
  <si>
    <t>104290808861(AFIC/SIN/204508)</t>
  </si>
  <si>
    <t>104296265951(AEV0168477F)</t>
  </si>
  <si>
    <t>15.10.21</t>
  </si>
  <si>
    <t>104292782751(20989092B)</t>
  </si>
  <si>
    <t>104295626301(AEV0169571A)</t>
  </si>
  <si>
    <t>104296142161(AEV0170084A)</t>
  </si>
  <si>
    <t>104295085531(AEV0169571C)</t>
  </si>
  <si>
    <t>16.10.21</t>
  </si>
  <si>
    <t>104292935351(20860316A)</t>
  </si>
  <si>
    <t>104294982411(AEV0168477E)</t>
  </si>
  <si>
    <t>104296618861(AEV0170082C)</t>
  </si>
  <si>
    <t>104295622101(AEV0170333A)</t>
  </si>
  <si>
    <t>104295332741(AEV0169571B)</t>
  </si>
  <si>
    <t>104299148811(212793146)</t>
  </si>
  <si>
    <t>104299330001(212576242)</t>
  </si>
  <si>
    <t>104299057441(212576205)</t>
  </si>
  <si>
    <t>17.10.21</t>
  </si>
  <si>
    <t>104298440041(21186612L)</t>
  </si>
  <si>
    <t>104298301221(212722662)</t>
  </si>
  <si>
    <t>104298375861(208604629)</t>
  </si>
  <si>
    <t>18.10.2021</t>
  </si>
  <si>
    <t>104299232701(212333250)</t>
  </si>
  <si>
    <t>104299479211(211770715)</t>
  </si>
  <si>
    <t>104299473351(211770741)</t>
  </si>
  <si>
    <t>104301481212(ONEYABJB00318803)</t>
  </si>
  <si>
    <t>104301770531(ONEYABJB00318802)</t>
  </si>
  <si>
    <t>104293472841(211812888)</t>
  </si>
  <si>
    <t>104302232051(ONEYABJB00323400)</t>
  </si>
  <si>
    <t>30 CONT</t>
  </si>
  <si>
    <t>75</t>
  </si>
  <si>
    <t>20.10.21</t>
  </si>
  <si>
    <t>104304765131(20989092R)</t>
  </si>
  <si>
    <t>21.10.2021</t>
  </si>
  <si>
    <t>104304910621(AEV0168124G)</t>
  </si>
  <si>
    <t>104306269211(AEV0170079A)</t>
  </si>
  <si>
    <t>07 CONT</t>
  </si>
  <si>
    <t>21.10.21</t>
  </si>
  <si>
    <t>104304699111(ONEYABJB00327801)</t>
  </si>
  <si>
    <t>104306744251(AEV0170069A)</t>
  </si>
  <si>
    <t>22.10.21</t>
  </si>
  <si>
    <t>104305029251(AEV0170079H)</t>
  </si>
  <si>
    <t>104306231301(AEV0170079D)</t>
  </si>
  <si>
    <t>25.10.21</t>
  </si>
  <si>
    <t>104312133111(AEV0170503G)</t>
  </si>
  <si>
    <t>26.10.21</t>
  </si>
  <si>
    <t>104310133911(AFIC/SIN/204718A)</t>
  </si>
  <si>
    <t>104307915501(AFIC/SIN/204720)</t>
  </si>
  <si>
    <t>104312608041(AEV0170222)</t>
  </si>
  <si>
    <t>104308158511(AFIC/SIN/204694A)</t>
  </si>
  <si>
    <t>104308248001(AFIC/SIN/204718)</t>
  </si>
  <si>
    <t>27.10.21</t>
  </si>
  <si>
    <t>104309592111(AFIC/SIN/204662)</t>
  </si>
  <si>
    <t>28.10.21</t>
  </si>
  <si>
    <t>104317774151(BSS0100528H)</t>
  </si>
  <si>
    <t>104314993531(212841972)</t>
  </si>
  <si>
    <t>104314196011(212031581)</t>
  </si>
  <si>
    <t>104313137831(ONEYABJB00160300)</t>
  </si>
  <si>
    <t>29.10.21</t>
  </si>
  <si>
    <t>104321911151(AEV0170084F)</t>
  </si>
  <si>
    <t>104317799611(IVL0181230)</t>
  </si>
  <si>
    <t>BILL 2801</t>
  </si>
  <si>
    <t>30.10.21</t>
  </si>
  <si>
    <t>104321984321(AEV0170976)</t>
  </si>
  <si>
    <t>104313491701(213018598)</t>
  </si>
  <si>
    <t>104313348051(212873467)</t>
  </si>
  <si>
    <t>104323891821(AEV0170084G)</t>
  </si>
  <si>
    <t>104315530911(212333247)</t>
  </si>
  <si>
    <t>31.10.21</t>
  </si>
  <si>
    <t>104309871151(AFIC/SIN/204752)</t>
  </si>
  <si>
    <t>21 CONT</t>
  </si>
  <si>
    <t>Từ ngày 01/11/2021
 đến 31/11/2021</t>
  </si>
  <si>
    <t>104323345121(213965146)</t>
  </si>
  <si>
    <t xml:space="preserve">CAVI </t>
  </si>
  <si>
    <t xml:space="preserve">1 CONT </t>
  </si>
  <si>
    <t>104321778741(212000125)</t>
  </si>
  <si>
    <t xml:space="preserve">3 CONT </t>
  </si>
  <si>
    <t>104323178151(212828488)</t>
  </si>
  <si>
    <t xml:space="preserve">7 CONT </t>
  </si>
  <si>
    <t>104327172021(20989092K)</t>
  </si>
  <si>
    <t>02.11.21</t>
  </si>
  <si>
    <t>104327257161(AEV0168394G)</t>
  </si>
  <si>
    <t>104325306261(212289472)</t>
  </si>
  <si>
    <t xml:space="preserve">22 CONT </t>
  </si>
  <si>
    <t>03.11.21</t>
  </si>
  <si>
    <t>104329515141(MEDUAB183914)</t>
  </si>
  <si>
    <t>04.11.21</t>
  </si>
  <si>
    <t>104329222801(AFIC/SIN/204652)</t>
  </si>
  <si>
    <t>104329328501(AFIC/SIN/204652A)</t>
  </si>
  <si>
    <t>104332085101(MEDUCN022578)</t>
  </si>
  <si>
    <t>05.11.21</t>
  </si>
  <si>
    <t>104330369361(MEDUCN020812)</t>
  </si>
  <si>
    <t>104330460511(MEDUCN021497)</t>
  </si>
  <si>
    <t>104330171261(MEDUCN021000)</t>
  </si>
  <si>
    <t>104329649761(212992510)</t>
  </si>
  <si>
    <t xml:space="preserve">18 CONT </t>
  </si>
  <si>
    <t>104335643901(21228605C)</t>
  </si>
  <si>
    <t xml:space="preserve">28 CONT </t>
  </si>
  <si>
    <t>104330594541(MEDUCN022370)</t>
  </si>
  <si>
    <t>06.11.21</t>
  </si>
  <si>
    <t>104329789101(213348875)</t>
  </si>
  <si>
    <t>104335952711(211894379)</t>
  </si>
  <si>
    <t>07.11.21</t>
  </si>
  <si>
    <t>104336118831(AEV0170333B)</t>
  </si>
  <si>
    <t>104336461021(212286775)</t>
  </si>
  <si>
    <t>09.11.21</t>
  </si>
  <si>
    <t>104338686432(BSS0100528C)</t>
  </si>
  <si>
    <t>104339771102(BSS0100528I)</t>
  </si>
  <si>
    <t>104339474632(BSS0100572E)</t>
  </si>
  <si>
    <t>79</t>
  </si>
  <si>
    <t>80</t>
  </si>
  <si>
    <t>10.11.21</t>
  </si>
  <si>
    <t>104338710602(BSS0100528G)</t>
  </si>
  <si>
    <t xml:space="preserve">15 CONT </t>
  </si>
  <si>
    <t>104343684321(212511854)</t>
  </si>
  <si>
    <t>BILL 6853</t>
  </si>
  <si>
    <t>TK 104326474711</t>
  </si>
  <si>
    <t>11.11.21</t>
  </si>
  <si>
    <t>BILL 5902</t>
  </si>
  <si>
    <t>TK 104328617151</t>
  </si>
  <si>
    <t>BILL 0711</t>
  </si>
  <si>
    <t>TK 104326589951</t>
  </si>
  <si>
    <t>BILL 035G</t>
  </si>
  <si>
    <t>TK 104326360943</t>
  </si>
  <si>
    <t>104343186361(212511689)</t>
  </si>
  <si>
    <t xml:space="preserve">17 CONT </t>
  </si>
  <si>
    <t>12.11.21</t>
  </si>
  <si>
    <t>13.11.21</t>
  </si>
  <si>
    <t>104344320401(GOSUABI21003585)</t>
  </si>
  <si>
    <t xml:space="preserve">20 CONT </t>
  </si>
  <si>
    <t>16.11.21</t>
  </si>
  <si>
    <t>104343999541(212424604)</t>
  </si>
  <si>
    <t>103682914531(AEV0161368A)</t>
  </si>
  <si>
    <t>104354269461(AFIC/SIN/204800)</t>
  </si>
  <si>
    <t>104353924251(AFIC/SIN/204799)</t>
  </si>
  <si>
    <t>17.11.21</t>
  </si>
  <si>
    <t>104358385831(IVL0181383)</t>
  </si>
  <si>
    <t xml:space="preserve">13 CONT </t>
  </si>
  <si>
    <t>104358341621(BSS0100528F)</t>
  </si>
  <si>
    <t>18.11.21</t>
  </si>
  <si>
    <t>104357971801(BSS0100511A)</t>
  </si>
  <si>
    <t>19.11.21</t>
  </si>
  <si>
    <t>104362187051(AEV0190974)</t>
  </si>
  <si>
    <t xml:space="preserve">2 CONT </t>
  </si>
  <si>
    <t>20.11.21</t>
  </si>
  <si>
    <t>104355160711(BSS0100511C)</t>
  </si>
  <si>
    <t>104354896551(BSS0100511B)</t>
  </si>
  <si>
    <t>104186427701 (ONEYABJB00105901)</t>
  </si>
  <si>
    <t>23.11.21</t>
  </si>
  <si>
    <t>104353636921(AEV0171709)</t>
  </si>
  <si>
    <t>104365311261(ONEYABJB00160301)</t>
  </si>
  <si>
    <t>25.11.21</t>
  </si>
  <si>
    <t>104374378621(BSS0100594C)</t>
  </si>
  <si>
    <t>104374096261(BSS0100594A)</t>
  </si>
  <si>
    <t>26.11.21</t>
  </si>
  <si>
    <t>104374273621(BSS0100594B)</t>
  </si>
  <si>
    <t xml:space="preserve">10 CONT </t>
  </si>
  <si>
    <t>104374491212(BSS0100594D)</t>
  </si>
  <si>
    <t xml:space="preserve">5 CONT </t>
  </si>
  <si>
    <t>27.11.21</t>
  </si>
  <si>
    <t>104377437841(AEV0170999C)</t>
  </si>
  <si>
    <t>104380132031(MEDUPD127775)</t>
  </si>
  <si>
    <t>104380090951(MEDUPD123790)</t>
  </si>
  <si>
    <t>29.11.21</t>
  </si>
  <si>
    <t>104379588021(HLCUDK1210701640)</t>
  </si>
  <si>
    <t>30.11.21</t>
  </si>
  <si>
    <t>104380046041(AEV0171257)</t>
  </si>
  <si>
    <t>104379927041(AEV1071070)</t>
  </si>
  <si>
    <t>104379811061(AEV0170999D)</t>
  </si>
  <si>
    <t>104380570821(AEV0171133)</t>
  </si>
  <si>
    <t>Từ ngày 01/12/2021
 đến 31/12/2021</t>
  </si>
  <si>
    <t>BILL 6811</t>
  </si>
  <si>
    <t>01.12.21</t>
  </si>
  <si>
    <t>104380649441(AEV0170975)</t>
  </si>
  <si>
    <t>104379974641(AEV0171132)</t>
  </si>
  <si>
    <t xml:space="preserve">4 CONT </t>
  </si>
  <si>
    <t>104384544501(AEV0172025)</t>
  </si>
  <si>
    <t>02.12.21</t>
  </si>
  <si>
    <t>TỔNG SL TỪ THÁNG 06/2020 ĐẾN 12/2020</t>
  </si>
  <si>
    <t>TỔNG SL TỪ THÁNG 01/2021 ĐẾN 06/2021</t>
  </si>
  <si>
    <t>04.12.21</t>
  </si>
  <si>
    <t>104391588341(MEDUPD123006)</t>
  </si>
  <si>
    <t xml:space="preserve">12 CONT </t>
  </si>
  <si>
    <t>103708131921(AEV0162986)</t>
  </si>
  <si>
    <t>103712279641(MEDUAB114935)</t>
  </si>
  <si>
    <t>103712279641( MEDUAB114935)</t>
  </si>
  <si>
    <t>10.12.20</t>
  </si>
  <si>
    <t>29.07.21</t>
  </si>
  <si>
    <t>07.12.21</t>
  </si>
  <si>
    <t>104395461221(AFIC/SIN/204796)</t>
  </si>
  <si>
    <t>08.12.21</t>
  </si>
  <si>
    <t>SỐ LƯỢNG YÊU CẦU NHẬP</t>
  </si>
  <si>
    <t>104396609811(AEV0171000F)</t>
  </si>
  <si>
    <t>STK: 104383057441</t>
  </si>
  <si>
    <t>STK: 104301276922</t>
  </si>
  <si>
    <t>09.12.21</t>
  </si>
  <si>
    <t>104399110911(213189899)</t>
  </si>
  <si>
    <t>104398977651(213110193)</t>
  </si>
  <si>
    <t>TỜ KHAI :  104383057441</t>
  </si>
  <si>
    <t>TỜ KHAI :  104301276922</t>
  </si>
  <si>
    <t>104401722021(AEV0170295D)</t>
  </si>
  <si>
    <t>104400706541(AEV0171002D)</t>
  </si>
  <si>
    <t>10.12.21</t>
  </si>
  <si>
    <t>104401786201(AEV0169572C)</t>
  </si>
  <si>
    <t>11.12.21</t>
  </si>
  <si>
    <t>104403653431(BSS0100636B)</t>
  </si>
  <si>
    <t>104403865901(BSS0100636D)</t>
  </si>
  <si>
    <t>12.12.21</t>
  </si>
  <si>
    <t>104404000411(BSS0100636E)</t>
  </si>
  <si>
    <t xml:space="preserve">STK: </t>
  </si>
  <si>
    <t>STK:</t>
  </si>
  <si>
    <t>TỜ KHAI :  104328617151</t>
  </si>
  <si>
    <t>13.12.21</t>
  </si>
  <si>
    <t>104403750141(BSS0100636C)</t>
  </si>
  <si>
    <t>18.12.21</t>
  </si>
  <si>
    <t>104417180011(RILSIN2021018640)</t>
  </si>
  <si>
    <t>20.12.21</t>
  </si>
  <si>
    <t>104424078361(AFIC/SIN/204840)</t>
  </si>
  <si>
    <t>104424075931(AFIC/SIN/204839)</t>
  </si>
  <si>
    <t>104429625201(AEV0171496F)</t>
  </si>
  <si>
    <t>22.12.21</t>
  </si>
  <si>
    <t>23.12.21</t>
  </si>
  <si>
    <t>104431159712(AEV0171495E)</t>
  </si>
  <si>
    <t>BILL 092L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</si>
  <si>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104425851351</t>
    </r>
  </si>
  <si>
    <t>TỜ KHAI : 104425851351</t>
  </si>
  <si>
    <t>104431156212(AEV0171495A)</t>
  </si>
  <si>
    <t>24.12.21</t>
  </si>
  <si>
    <t>104431129611(AEV0171495C)</t>
  </si>
  <si>
    <t>104432414443(AEV0171498)</t>
  </si>
  <si>
    <t>104430721731(AEV0171495B)</t>
  </si>
  <si>
    <t>25.12.21</t>
  </si>
  <si>
    <t>104432783561(AEV0170513A)</t>
  </si>
  <si>
    <t>27.12.21</t>
  </si>
  <si>
    <t>104433508101(BSS0100612C)</t>
  </si>
  <si>
    <t>104433088101(BSS0100612A)</t>
  </si>
  <si>
    <t>28.12.21</t>
  </si>
  <si>
    <t>104433387661(BSS0100612B)</t>
  </si>
  <si>
    <t>104433582741(BSS0100612D)</t>
  </si>
  <si>
    <t>29.12.21</t>
  </si>
  <si>
    <t>30.12.21</t>
  </si>
  <si>
    <t>31.12.21</t>
  </si>
  <si>
    <t>Từ ngày 01/01/2022
 đến 31/01/2022</t>
  </si>
  <si>
    <t>11.01.22</t>
  </si>
  <si>
    <t>104467095941(GREENTECA10)</t>
  </si>
  <si>
    <t>TÀU GREENTEC</t>
  </si>
  <si>
    <t>11.01.21</t>
  </si>
  <si>
    <t>104466960141(GREENTECB8)</t>
  </si>
  <si>
    <t>13.01.22</t>
  </si>
  <si>
    <t>104467664341(GREENTECC8)</t>
  </si>
  <si>
    <t>104467093031(GREENTECA8)</t>
  </si>
  <si>
    <t>14.01.22</t>
  </si>
  <si>
    <t>104466987001(GREENTECD5)</t>
  </si>
  <si>
    <t>103665052411(AEV0160511D)</t>
  </si>
  <si>
    <t>15.01.22</t>
  </si>
  <si>
    <t>104466944411(GREENTECB6)</t>
  </si>
  <si>
    <t>104469580721(GREENTECC6)</t>
  </si>
  <si>
    <t>104466965961(GREENTECC4)</t>
  </si>
  <si>
    <t>104467453861 (GREENTECB4)</t>
  </si>
  <si>
    <t>GREENTEC</t>
  </si>
  <si>
    <t>16.12.20</t>
  </si>
  <si>
    <t>29.11.20</t>
  </si>
  <si>
    <t>16.01.22</t>
  </si>
  <si>
    <t>104469505711(GREENTECA4)</t>
  </si>
  <si>
    <t>104469632741(GREENTECE1)</t>
  </si>
  <si>
    <t>104467416651(GREENTECB2)</t>
  </si>
  <si>
    <t>17.01.22</t>
  </si>
  <si>
    <t>104467088131(GREENTECA1)</t>
  </si>
  <si>
    <t>27.01.22</t>
  </si>
  <si>
    <t>104503591361 (DKA0144370A)</t>
  </si>
  <si>
    <t>104503433901 (DKA0144370B)</t>
  </si>
  <si>
    <t>Từ ngày 01/02/2022
 đến 28/02/2022</t>
  </si>
  <si>
    <t>09.02.22</t>
  </si>
  <si>
    <t>104512739001(AEV0171695G)</t>
  </si>
  <si>
    <t>104518483641(ONEYDKRB00260400)</t>
  </si>
  <si>
    <t>10.02.22</t>
  </si>
  <si>
    <t>104467090231(GREENTECA6)</t>
  </si>
  <si>
    <t>104432278311(MEDUPD123014)</t>
  </si>
  <si>
    <t>104512906041(AEV0171695J)</t>
  </si>
  <si>
    <t>104518374811 (COSU6318171640)</t>
  </si>
  <si>
    <t>11.02.22</t>
  </si>
  <si>
    <t>104518421821(ONEYDKRB00256900)</t>
  </si>
  <si>
    <t>104518287861(COSU6319469110)</t>
  </si>
  <si>
    <t>104518456931(ONEYDKB00257300)</t>
  </si>
  <si>
    <t>12.02.22</t>
  </si>
  <si>
    <t>104518331301 (COSU6319470470)</t>
  </si>
  <si>
    <t>104520872041(COSU6314216340)</t>
  </si>
  <si>
    <t>104521293221(MEDUAB202482)</t>
  </si>
  <si>
    <t>104521233721(MEDUAB202490)</t>
  </si>
  <si>
    <t>13.02.22</t>
  </si>
  <si>
    <t>104520968051 ( COSU6314216341)</t>
  </si>
  <si>
    <t>14.02.22</t>
  </si>
  <si>
    <t>104518170151(OOLU4052482430)</t>
  </si>
  <si>
    <t>15.02.22</t>
  </si>
  <si>
    <t>104518092711 (OOLU4052419860)</t>
  </si>
  <si>
    <t>16.02.22</t>
  </si>
  <si>
    <t>104518136811(OOLU4052419861)</t>
  </si>
  <si>
    <t>Từ ngày 01/03/2022
 đến 31/03/2022</t>
  </si>
  <si>
    <t>87</t>
  </si>
  <si>
    <t>91</t>
  </si>
  <si>
    <t>16.03.22</t>
  </si>
  <si>
    <t>104582491311(AEV0173702)</t>
  </si>
  <si>
    <t>104579357521(DKA0145005E)</t>
  </si>
  <si>
    <t>18.03.22</t>
  </si>
  <si>
    <t>104587991432(OOLU2684258920)</t>
  </si>
  <si>
    <t>104588143922 ( OOLU2684258111)</t>
  </si>
  <si>
    <t>29.03.22</t>
  </si>
  <si>
    <t>104605432301(ONEYTEMC00296801)</t>
  </si>
  <si>
    <t>104605517111(ONEYTEMC00296800)</t>
  </si>
  <si>
    <t>30.03.22</t>
  </si>
  <si>
    <t>104614325762 (ONEYTEMC00295700)</t>
  </si>
  <si>
    <t>Từ ngày 01/04/2022
 đến 31/04/2022</t>
  </si>
  <si>
    <t>BILL 4924</t>
  </si>
  <si>
    <t>TỜ KHAI : 104662920350</t>
  </si>
  <si>
    <t>22.04.22</t>
  </si>
  <si>
    <t>104650226331(HLCUDKR220300323)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</si>
  <si>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104662920350</t>
    </r>
  </si>
  <si>
    <t>23.04.22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</si>
  <si>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104656388321</t>
    </r>
  </si>
  <si>
    <t>TỜ KHAI : 104656388321</t>
  </si>
  <si>
    <t>BILL 1770</t>
  </si>
  <si>
    <t>24.04.22</t>
  </si>
  <si>
    <t>25.04.22</t>
  </si>
  <si>
    <t>26.04.22</t>
  </si>
  <si>
    <t>104663587931(DSLSIN1842022)</t>
  </si>
  <si>
    <t>27.04.22</t>
  </si>
  <si>
    <t>104662176361(HLCUDKR220300334)</t>
  </si>
  <si>
    <t>28.04.22</t>
  </si>
  <si>
    <t>104675311531(DSLSIN1832022)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</si>
  <si>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</t>
    </r>
  </si>
  <si>
    <t>TỜ KHAI : 104670021301</t>
  </si>
  <si>
    <t>BILL 2430</t>
  </si>
  <si>
    <t>04.05.22</t>
  </si>
  <si>
    <t>06.05.22</t>
  </si>
  <si>
    <t>104680026361(AFIC/NIG/202634A)</t>
  </si>
  <si>
    <t>07.05.22</t>
  </si>
  <si>
    <t>104693053621(OOLU4052951109)</t>
  </si>
  <si>
    <t>104692023921(OOLU4052951100)</t>
  </si>
  <si>
    <t>104693384501(OOLU4052965780)</t>
  </si>
  <si>
    <t>11.05.22</t>
  </si>
  <si>
    <t>BILL 894C</t>
  </si>
  <si>
    <t>TỜ KHAI : 104699507251</t>
  </si>
  <si>
    <r>
      <rPr>
        <b/>
        <sz val="15"/>
        <color rgb="FFFF0000"/>
        <rFont val="Times New Roman"/>
        <family val="1"/>
      </rPr>
      <t>STK</t>
    </r>
    <r>
      <rPr>
        <b/>
        <sz val="15"/>
        <color theme="1"/>
        <rFont val="Times New Roman"/>
        <family val="1"/>
      </rPr>
      <t>:104699507251</t>
    </r>
  </si>
  <si>
    <t>12.05.22</t>
  </si>
  <si>
    <t>104700132941(LGS0164104)</t>
  </si>
  <si>
    <t>BILL 9527</t>
  </si>
  <si>
    <t>14.05.22</t>
  </si>
  <si>
    <t>TỜ KHAI : 104703662931</t>
  </si>
  <si>
    <t>16.05.22</t>
  </si>
  <si>
    <t>BILL 4718</t>
  </si>
  <si>
    <t>TỜ KHAI : 104690694730</t>
  </si>
  <si>
    <r>
      <rPr>
        <b/>
        <sz val="15"/>
        <color rgb="FFFF0000"/>
        <rFont val="Times New Roman"/>
        <family val="1"/>
      </rPr>
      <t>STK</t>
    </r>
    <r>
      <rPr>
        <b/>
        <sz val="15"/>
        <color theme="1"/>
        <rFont val="Times New Roman"/>
        <family val="1"/>
      </rPr>
      <t>: 104690694730</t>
    </r>
  </si>
  <si>
    <t>17.05.22</t>
  </si>
  <si>
    <t>18.05.22</t>
  </si>
  <si>
    <t>19.05.22</t>
  </si>
  <si>
    <t>104713764521(ONEYLOSC00442300)</t>
  </si>
  <si>
    <t>23.05.22</t>
  </si>
  <si>
    <t>104727253042(ONEYLOSC00724600)</t>
  </si>
  <si>
    <t>BILL 4370B</t>
  </si>
  <si>
    <t>TỜ KHAI : 104732166451</t>
  </si>
  <si>
    <r>
      <rPr>
        <b/>
        <sz val="15"/>
        <color rgb="FFFF0000"/>
        <rFont val="Times New Roman"/>
        <family val="1"/>
      </rPr>
      <t>STK</t>
    </r>
    <r>
      <rPr>
        <b/>
        <sz val="15"/>
        <color theme="1"/>
        <rFont val="Times New Roman"/>
        <family val="1"/>
      </rPr>
      <t>: 104732166451</t>
    </r>
  </si>
  <si>
    <t>24.05.22</t>
  </si>
  <si>
    <t>104721821301(ONEYTEMC00690600)</t>
  </si>
  <si>
    <t>104727344961(ONEYLOSC00814600)</t>
  </si>
  <si>
    <t>25.05.22</t>
  </si>
  <si>
    <t>104730476321(ONEYTEMC00608500)</t>
  </si>
  <si>
    <t>Từ ngày 01/05/2022
 đến 25/05/2022</t>
  </si>
  <si>
    <t>26.05.22</t>
  </si>
  <si>
    <t>BILL 0470</t>
  </si>
  <si>
    <t>TỜ KHAI : 104728461611</t>
  </si>
  <si>
    <t>STK:104728461611</t>
  </si>
  <si>
    <t>27.05.22</t>
  </si>
  <si>
    <t>28.05.22</t>
  </si>
  <si>
    <t>BILL 9860</t>
  </si>
  <si>
    <t>31.05.22</t>
  </si>
  <si>
    <t>TỜ KHAI : 104744165521</t>
  </si>
  <si>
    <r>
      <rPr>
        <b/>
        <sz val="15"/>
        <color rgb="FFFF0000"/>
        <rFont val="Times New Roman"/>
        <family val="1"/>
      </rPr>
      <t>STK</t>
    </r>
    <r>
      <rPr>
        <b/>
        <sz val="15"/>
        <color theme="1"/>
        <rFont val="Times New Roman"/>
        <family val="1"/>
      </rPr>
      <t>: 104744165521</t>
    </r>
  </si>
  <si>
    <t>01.06.22</t>
  </si>
  <si>
    <t>104744314031(GOSUABI22003739)</t>
  </si>
  <si>
    <t>02.06.22</t>
  </si>
  <si>
    <t>104749981821(ONEYLOSC00965600)</t>
  </si>
  <si>
    <t>Từ ngày 26/05/2022
 đến 25/06/2022</t>
  </si>
  <si>
    <t>104746279631(OOLU4052924110)</t>
  </si>
  <si>
    <t>03 CONT</t>
  </si>
  <si>
    <t>104748732762(MEDUTM187661)</t>
  </si>
  <si>
    <t>104748450001(MEDUTM189253)</t>
  </si>
  <si>
    <t>03.06.22</t>
  </si>
  <si>
    <t>104747712531(217030417)</t>
  </si>
  <si>
    <t>04.06.22</t>
  </si>
  <si>
    <t>104748965751(MEDUTM87711)</t>
  </si>
  <si>
    <t>104750198931(AFIC/NIG/202591)</t>
  </si>
  <si>
    <t>07.06.22</t>
  </si>
  <si>
    <t>BILL 1026</t>
  </si>
  <si>
    <t>TỜ KHAI : 104761154851</t>
  </si>
  <si>
    <r>
      <rPr>
        <b/>
        <sz val="15"/>
        <color rgb="FFFF0000"/>
        <rFont val="Times New Roman"/>
        <family val="1"/>
      </rPr>
      <t>STK</t>
    </r>
    <r>
      <rPr>
        <b/>
        <sz val="15"/>
        <color theme="1"/>
        <rFont val="Times New Roman"/>
        <family val="1"/>
      </rPr>
      <t>: 104761154851</t>
    </r>
  </si>
  <si>
    <t>Kho 3.2 chuyển</t>
  </si>
  <si>
    <t>104331367231(AEV0170084H)</t>
  </si>
  <si>
    <t>Chuyển kho 1.2</t>
  </si>
  <si>
    <t>12C -Đảo kho 2.2</t>
  </si>
  <si>
    <t>STK: 104763144621</t>
  </si>
  <si>
    <t>ĐẢO KHO 1.2</t>
  </si>
  <si>
    <t>ĐẢO KHO 2.2</t>
  </si>
  <si>
    <t>85</t>
  </si>
  <si>
    <t>86</t>
  </si>
  <si>
    <t>TỔNG SẢN LƯỢNG TK 4711</t>
  </si>
  <si>
    <t>TỔNG SẢN LƯỢNG TK 4621</t>
  </si>
  <si>
    <t>10.06.22</t>
  </si>
  <si>
    <t>KHO 3.2 - 2.2</t>
  </si>
  <si>
    <t>104263666361(AEV0166095G)</t>
  </si>
  <si>
    <t>1 CONT 3.2-1.2</t>
  </si>
  <si>
    <t>12 CONT 3.2-2.2</t>
  </si>
  <si>
    <t>chuyển qua 2.1</t>
  </si>
  <si>
    <t>TỔNG BẮP KHO 3.2</t>
  </si>
  <si>
    <t xml:space="preserve">KHO </t>
  </si>
  <si>
    <t>BẮP</t>
  </si>
  <si>
    <t xml:space="preserve">BẮP </t>
  </si>
  <si>
    <t>Chuyển qua 3.1</t>
  </si>
  <si>
    <t>3.2-1.3</t>
  </si>
  <si>
    <t>TỔNG SẢN LƯỢNG  TK 2931</t>
  </si>
  <si>
    <t xml:space="preserve">TỔNG SẢN LƯỢNG TK 4741 </t>
  </si>
  <si>
    <t>STK: 104762064741</t>
  </si>
  <si>
    <t>STK:104703662931</t>
  </si>
  <si>
    <t xml:space="preserve">TỔNG SẢN LƯỢNG </t>
  </si>
  <si>
    <t>104727514401(ONEYTEMC00712801)</t>
  </si>
  <si>
    <t>Chuyển qua 2.1</t>
  </si>
  <si>
    <t>16.06.22</t>
  </si>
  <si>
    <t>17 CONT 3.2-2.2</t>
  </si>
  <si>
    <t>1 CONT 3.2-2.3</t>
  </si>
  <si>
    <t>10 CONT 3.2-1.3</t>
  </si>
  <si>
    <t>9 CONT 3.2-3.1</t>
  </si>
  <si>
    <t>17.06.22</t>
  </si>
  <si>
    <t>104774543421(AR-02)</t>
  </si>
  <si>
    <t>TL</t>
  </si>
  <si>
    <t>104782740161(AR-03)</t>
  </si>
  <si>
    <t>104774600011(AR-06)</t>
  </si>
  <si>
    <t>104781652031(AR-05)</t>
  </si>
  <si>
    <t>TÂN LONG</t>
  </si>
  <si>
    <t>18.06.22</t>
  </si>
  <si>
    <t>104781396051(1KT451931)</t>
  </si>
  <si>
    <t>Chuyển qua 2.2</t>
  </si>
  <si>
    <t>6 CONT 3.2-3.1</t>
  </si>
  <si>
    <t>5 CONT 3.2-1.3</t>
  </si>
  <si>
    <t>6 CONT 3.2-1.3</t>
  </si>
  <si>
    <t>10 CONT 3.2.1.3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</si>
  <si>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104571932031</t>
    </r>
  </si>
  <si>
    <t>08.03.22</t>
  </si>
  <si>
    <t>BILL 4629</t>
  </si>
  <si>
    <t>TỜ KHAI : 104571932031</t>
  </si>
  <si>
    <t>TỔNG SẢN LƯỢNG  TK 2031</t>
  </si>
  <si>
    <t>20.06.22</t>
  </si>
  <si>
    <t>22.06.22</t>
  </si>
  <si>
    <t>24.06.22</t>
  </si>
  <si>
    <t>Từ ngày 26/06/2022
 đến 25/07/2022</t>
  </si>
  <si>
    <t>28.06.22</t>
  </si>
  <si>
    <t>BILL 7661</t>
  </si>
  <si>
    <r>
      <rPr>
        <b/>
        <sz val="15"/>
        <color rgb="FFFF0000"/>
        <rFont val="Times New Roman"/>
        <family val="1"/>
      </rPr>
      <t>STK:</t>
    </r>
    <r>
      <rPr>
        <b/>
        <sz val="15"/>
        <color theme="1"/>
        <rFont val="Times New Roman"/>
        <family val="1"/>
      </rPr>
      <t xml:space="preserve"> 104808487561</t>
    </r>
  </si>
  <si>
    <t>30.06.22</t>
  </si>
  <si>
    <t>TỔNG SẢN LƯỢNG TK 1611</t>
  </si>
  <si>
    <t xml:space="preserve">  </t>
  </si>
  <si>
    <t>03.07.22</t>
  </si>
  <si>
    <t>09.07.22</t>
  </si>
  <si>
    <t>104829986002 (PAROSEA4)</t>
  </si>
  <si>
    <t>PACIFIC ROSE</t>
  </si>
  <si>
    <t>19.10.21</t>
  </si>
  <si>
    <t>18.10.21</t>
  </si>
  <si>
    <t>08.08.21</t>
  </si>
  <si>
    <t>13.08.21</t>
  </si>
  <si>
    <t>12.08.21</t>
  </si>
  <si>
    <t>11.08.21</t>
  </si>
  <si>
    <t>30.07.21</t>
  </si>
  <si>
    <t>25.08.21</t>
  </si>
  <si>
    <t>06.08.21</t>
  </si>
  <si>
    <t>16.07.21</t>
  </si>
  <si>
    <t>104830125412(PAROSEB4)</t>
  </si>
  <si>
    <t>11.07.22</t>
  </si>
  <si>
    <t>13.07.22</t>
  </si>
  <si>
    <t>15.07.22</t>
  </si>
  <si>
    <t>104829657811(PAROSED4)</t>
  </si>
  <si>
    <t>104829551262(PAROSEC2)</t>
  </si>
  <si>
    <t>18.07.22</t>
  </si>
  <si>
    <t>BILL 7711</t>
  </si>
  <si>
    <r>
      <rPr>
        <b/>
        <sz val="15"/>
        <color rgb="FFFF0000"/>
        <rFont val="Times New Roman"/>
        <family val="1"/>
      </rPr>
      <t>STK:</t>
    </r>
    <r>
      <rPr>
        <b/>
        <sz val="15"/>
        <color theme="1"/>
        <rFont val="Times New Roman"/>
        <family val="1"/>
      </rPr>
      <t xml:space="preserve"> 104825665560</t>
    </r>
  </si>
  <si>
    <t>TỜ KHAI : 104808487561 / 104825665560</t>
  </si>
  <si>
    <t>TỜ KHAI : 104825734310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</si>
  <si>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104825734310</t>
    </r>
  </si>
  <si>
    <t>19.07.22</t>
  </si>
  <si>
    <t>TỔNG SẢN LƯỢNG TK 7561</t>
  </si>
  <si>
    <t>TỔNG SẢN LƯỢNG TK 5560</t>
  </si>
  <si>
    <t>29.04.22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</si>
  <si>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104670739721</t>
    </r>
  </si>
  <si>
    <t>BILL 6340</t>
  </si>
  <si>
    <t>TỜ KHAI : 104670739721</t>
  </si>
  <si>
    <t>TỔNG SẢN LƯỢNG TK 9721</t>
  </si>
  <si>
    <t>20.07.22</t>
  </si>
  <si>
    <t>21.07.22</t>
  </si>
  <si>
    <t>BILL: GREENTECB4</t>
  </si>
  <si>
    <t>TỜ KHAI : 104818347061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</si>
  <si>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104818347061</t>
    </r>
  </si>
  <si>
    <t>22.07.22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</si>
  <si>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104609148450</t>
    </r>
  </si>
  <si>
    <t>TỔNG SẢN LƯỢNG TK 8450</t>
  </si>
  <si>
    <t>TỔNG SẢN LƯỢNG TK 1101</t>
  </si>
  <si>
    <t>TỔNG SẢN LƯỢNG TK 1820</t>
  </si>
  <si>
    <r>
      <t xml:space="preserve">STK: </t>
    </r>
    <r>
      <rPr>
        <b/>
        <sz val="15"/>
        <color rgb="FFFF0000"/>
        <rFont val="Times New Roman"/>
        <family val="1"/>
      </rPr>
      <t>104732621820</t>
    </r>
  </si>
  <si>
    <r>
      <t xml:space="preserve">STK: </t>
    </r>
    <r>
      <rPr>
        <b/>
        <sz val="15"/>
        <color rgb="FFFF0000"/>
        <rFont val="Times New Roman"/>
        <family val="1"/>
      </rPr>
      <t>104762221101</t>
    </r>
  </si>
  <si>
    <t>23.07.22</t>
  </si>
  <si>
    <t>Từ ngày 26/07/2022
 đến 25/08/2022</t>
  </si>
  <si>
    <t>27.07.22</t>
  </si>
  <si>
    <t>104868551541(HLCUAB1220502060)</t>
  </si>
  <si>
    <t>104867634651(ONEYTEMC01288300)</t>
  </si>
  <si>
    <t>28.07.22</t>
  </si>
  <si>
    <t>104869278731(ONEYTEMC01338600)</t>
  </si>
  <si>
    <t>104868119901(ONEYTEMC01288302)</t>
  </si>
  <si>
    <t>104869335911(ONEYTEMC01338601)</t>
  </si>
  <si>
    <t>29.07.22</t>
  </si>
  <si>
    <t>104867793811(ONEYTEMC01234802)</t>
  </si>
  <si>
    <t>BILL: 8903</t>
  </si>
  <si>
    <t>TỜ KHAI : 104855134901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</si>
  <si>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104855134901</t>
    </r>
  </si>
  <si>
    <t>104875441051(217482590)</t>
  </si>
  <si>
    <t>104867907801(ONEYTEMC01288301)</t>
  </si>
  <si>
    <t>30.07.22</t>
  </si>
  <si>
    <t>104875081141(217855819)</t>
  </si>
  <si>
    <t>01.08.22</t>
  </si>
  <si>
    <t>03.08.22</t>
  </si>
  <si>
    <t>104883582751(COSU6338195370)</t>
  </si>
  <si>
    <t>104883407641(COSU6338195210)</t>
  </si>
  <si>
    <t>04.08.22</t>
  </si>
  <si>
    <t>104883770131(COSU6338416450)</t>
  </si>
  <si>
    <t>10.08.22</t>
  </si>
  <si>
    <t>104897217611(MEDUAB268020)</t>
  </si>
  <si>
    <t>104896928032(MEDUAB268038)</t>
  </si>
  <si>
    <t>11.08.22</t>
  </si>
  <si>
    <t>104899512431(217986312)</t>
  </si>
  <si>
    <t>16.08.22</t>
  </si>
  <si>
    <t>8 CONT 3.1-1.3</t>
  </si>
  <si>
    <t>104907368311( LGS0165143D)</t>
  </si>
  <si>
    <t>51</t>
  </si>
  <si>
    <t>104909329341( AEV0181325)</t>
  </si>
  <si>
    <t>23.08.22</t>
  </si>
  <si>
    <t>104916642351(ONEYABJC00404501)</t>
  </si>
  <si>
    <t>24.08.22</t>
  </si>
  <si>
    <t>Từ ngày 26/08/2022
 đến 25/09/2022</t>
  </si>
  <si>
    <t>26.08.22</t>
  </si>
  <si>
    <t>104929584911(218247491)</t>
  </si>
  <si>
    <t>104929485841(218247451)</t>
  </si>
  <si>
    <t>104929364151(217986167)</t>
  </si>
  <si>
    <t>104929658961(217902353)</t>
  </si>
  <si>
    <t>03.09.22</t>
  </si>
  <si>
    <t>104939824511(AEV0178411A)</t>
  </si>
  <si>
    <t>09.09.22</t>
  </si>
  <si>
    <t>104956887341(ONEYTEMC01424900)</t>
  </si>
  <si>
    <t>16.09.22</t>
  </si>
  <si>
    <t>BILL: GREENTEC A6</t>
  </si>
  <si>
    <t>TỜ KHAI : 104971622711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</si>
  <si>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104971622711</t>
    </r>
  </si>
  <si>
    <t>19.09.22</t>
  </si>
  <si>
    <t>TỜ KHAI :  104326360943 / 104692618661</t>
  </si>
  <si>
    <t>STK:104692618661</t>
  </si>
  <si>
    <t>BILL: 8301</t>
  </si>
  <si>
    <t>TỜ KHAI : 104966166800</t>
  </si>
  <si>
    <r>
      <rPr>
        <b/>
        <sz val="15"/>
        <color theme="1"/>
        <rFont val="Times New Roman"/>
        <family val="1"/>
      </rPr>
      <t>STK:</t>
    </r>
    <r>
      <rPr>
        <b/>
        <sz val="15"/>
        <color rgb="FFFF0000"/>
        <rFont val="Times New Roman"/>
        <family val="1"/>
      </rPr>
      <t xml:space="preserve"> 104966166800</t>
    </r>
  </si>
  <si>
    <t>20.09.22</t>
  </si>
  <si>
    <t>21.09.22</t>
  </si>
  <si>
    <t>24.09.22</t>
  </si>
  <si>
    <t>LUỸ KẾ THÁNG 10/2022</t>
  </si>
  <si>
    <t>THÁNG 10/2022</t>
  </si>
  <si>
    <t>31/09/2022</t>
  </si>
  <si>
    <t>Từ ngày 26/09/2022
 đến 25/10/2022</t>
  </si>
  <si>
    <t>TỔNG CỘNG THÁNG 10/2022</t>
  </si>
  <si>
    <t>104988527011(MEDUAB279308)</t>
  </si>
  <si>
    <t>27.09.22</t>
  </si>
  <si>
    <t>28.09.22</t>
  </si>
  <si>
    <t>29.09.22</t>
  </si>
  <si>
    <t>03.10.22</t>
  </si>
  <si>
    <t>05.10.22</t>
  </si>
  <si>
    <t>105010194221(218246757)</t>
  </si>
  <si>
    <t>105010483651(219049985)</t>
  </si>
  <si>
    <t>105010729021(219347877)</t>
  </si>
  <si>
    <t>4970 bao</t>
  </si>
  <si>
    <t>06.10.22</t>
  </si>
  <si>
    <t>08.10.22</t>
  </si>
  <si>
    <t>105018586411(AFIC/SIN/206558)</t>
  </si>
  <si>
    <t>13.10.22</t>
  </si>
  <si>
    <t>105027016511(COSU6341421870)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</si>
</sst>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5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249977111117893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name val="Times New Roman"/>
      <family val="1"/>
    </font>
    <font>
      <b/>
      <sz val="28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1"/>
      <color theme="10"/>
      <name val="Calibri"/>
      <family val="2"/>
      <scheme val="minor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Calibri"/>
      <family val="2"/>
      <scheme val="minor"/>
    </font>
    <font>
      <sz val="16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4" tint="-0.249977111117893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4" tint="-0.249977111117893"/>
      <name val="Times New Roman"/>
      <family val="1"/>
    </font>
    <font>
      <sz val="14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8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8"/>
      <name val="Times New Roman"/>
      <family val="1"/>
    </font>
    <font>
      <sz val="11"/>
      <color rgb="FFC00000"/>
      <name val="Times New Roman"/>
      <family val="1"/>
    </font>
    <font>
      <sz val="15"/>
      <color rgb="FFFF0000"/>
      <name val="Times New Roman"/>
      <family val="1"/>
    </font>
    <font>
      <sz val="14"/>
      <color rgb="FFFF0000"/>
      <name val="Times New Roman"/>
      <family val="1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20"/>
      <color rgb="FFFF0000"/>
      <name val="Times New Roman"/>
      <family val="1"/>
    </font>
    <font>
      <b/>
      <sz val="16"/>
      <name val="Times New Roman"/>
      <family val="1"/>
    </font>
    <font>
      <sz val="26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46">
    <xf numFmtId="0" fontId="0" fillId="0" borderId="0" xfId="0"/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0" xfId="0" applyFont="1"/>
    <xf numFmtId="0" fontId="2" fillId="0" borderId="0" xfId="0" applyFont="1"/>
    <xf numFmtId="38" fontId="3" fillId="0" borderId="3" xfId="0" applyNumberFormat="1" applyFont="1" applyBorder="1"/>
    <xf numFmtId="38" fontId="2" fillId="0" borderId="6" xfId="0" applyNumberFormat="1" applyFont="1" applyBorder="1"/>
    <xf numFmtId="0" fontId="2" fillId="2" borderId="1" xfId="0" applyFont="1" applyFill="1" applyBorder="1" applyAlignment="1">
      <alignment horizontal="center"/>
    </xf>
    <xf numFmtId="49" fontId="3" fillId="0" borderId="3" xfId="0" applyNumberFormat="1" applyFont="1" applyBorder="1"/>
    <xf numFmtId="0" fontId="4" fillId="0" borderId="12" xfId="0" applyFont="1" applyBorder="1"/>
    <xf numFmtId="38" fontId="4" fillId="0" borderId="12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3" xfId="0" applyFont="1" applyBorder="1"/>
    <xf numFmtId="38" fontId="4" fillId="0" borderId="3" xfId="0" applyNumberFormat="1" applyFont="1" applyBorder="1"/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wrapText="1"/>
    </xf>
    <xf numFmtId="49" fontId="4" fillId="0" borderId="3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38" fontId="0" fillId="0" borderId="0" xfId="0" applyNumberFormat="1"/>
    <xf numFmtId="49" fontId="4" fillId="0" borderId="3" xfId="0" applyNumberFormat="1" applyFont="1" applyBorder="1"/>
    <xf numFmtId="38" fontId="5" fillId="2" borderId="1" xfId="0" applyNumberFormat="1" applyFont="1" applyFill="1" applyBorder="1" applyAlignment="1">
      <alignment horizontal="center" wrapText="1"/>
    </xf>
    <xf numFmtId="38" fontId="4" fillId="0" borderId="15" xfId="0" applyNumberFormat="1" applyFont="1" applyBorder="1"/>
    <xf numFmtId="38" fontId="2" fillId="0" borderId="16" xfId="0" applyNumberFormat="1" applyFont="1" applyBorder="1"/>
    <xf numFmtId="38" fontId="4" fillId="0" borderId="2" xfId="0" applyNumberFormat="1" applyFont="1" applyBorder="1"/>
    <xf numFmtId="38" fontId="3" fillId="0" borderId="2" xfId="0" applyNumberFormat="1" applyFont="1" applyBorder="1"/>
    <xf numFmtId="38" fontId="2" fillId="0" borderId="5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38" fontId="4" fillId="2" borderId="3" xfId="0" applyNumberFormat="1" applyFont="1" applyFill="1" applyBorder="1"/>
    <xf numFmtId="38" fontId="4" fillId="0" borderId="3" xfId="0" applyNumberFormat="1" applyFont="1" applyFill="1" applyBorder="1"/>
    <xf numFmtId="164" fontId="0" fillId="0" borderId="0" xfId="2" applyNumberFormat="1" applyFont="1"/>
    <xf numFmtId="164" fontId="0" fillId="0" borderId="0" xfId="0" applyNumberFormat="1"/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/>
    <xf numFmtId="49" fontId="2" fillId="2" borderId="20" xfId="0" applyNumberFormat="1" applyFont="1" applyFill="1" applyBorder="1" applyAlignment="1"/>
    <xf numFmtId="0" fontId="9" fillId="0" borderId="0" xfId="0" applyFont="1"/>
    <xf numFmtId="0" fontId="2" fillId="0" borderId="0" xfId="0" applyFont="1" applyBorder="1" applyAlignment="1">
      <alignment horizontal="center"/>
    </xf>
    <xf numFmtId="38" fontId="2" fillId="0" borderId="0" xfId="0" applyNumberFormat="1" applyFont="1" applyBorder="1"/>
    <xf numFmtId="0" fontId="2" fillId="0" borderId="0" xfId="0" applyFont="1" applyBorder="1"/>
    <xf numFmtId="0" fontId="5" fillId="4" borderId="0" xfId="0" applyFont="1" applyFill="1"/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/>
    </xf>
    <xf numFmtId="0" fontId="10" fillId="4" borderId="0" xfId="0" applyFont="1" applyFill="1"/>
    <xf numFmtId="0" fontId="10" fillId="2" borderId="1" xfId="0" applyFont="1" applyFill="1" applyBorder="1"/>
    <xf numFmtId="0" fontId="10" fillId="3" borderId="0" xfId="0" applyFont="1" applyFill="1"/>
    <xf numFmtId="38" fontId="10" fillId="3" borderId="0" xfId="0" applyNumberFormat="1" applyFont="1" applyFill="1"/>
    <xf numFmtId="38" fontId="10" fillId="0" borderId="0" xfId="0" applyNumberFormat="1" applyFont="1"/>
    <xf numFmtId="0" fontId="10" fillId="0" borderId="0" xfId="0" applyFont="1"/>
    <xf numFmtId="38" fontId="4" fillId="3" borderId="3" xfId="0" applyNumberFormat="1" applyFont="1" applyFill="1" applyBorder="1"/>
    <xf numFmtId="49" fontId="4" fillId="0" borderId="2" xfId="0" applyNumberFormat="1" applyFont="1" applyFill="1" applyBorder="1" applyAlignment="1">
      <alignment horizontal="center"/>
    </xf>
    <xf numFmtId="49" fontId="4" fillId="0" borderId="18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left"/>
    </xf>
    <xf numFmtId="0" fontId="4" fillId="0" borderId="12" xfId="0" applyFont="1" applyFill="1" applyBorder="1"/>
    <xf numFmtId="38" fontId="4" fillId="0" borderId="12" xfId="0" applyNumberFormat="1" applyFont="1" applyFill="1" applyBorder="1"/>
    <xf numFmtId="0" fontId="4" fillId="0" borderId="0" xfId="0" applyFont="1" applyFill="1"/>
    <xf numFmtId="38" fontId="4" fillId="0" borderId="15" xfId="0" applyNumberFormat="1" applyFont="1" applyFill="1" applyBorder="1"/>
    <xf numFmtId="38" fontId="4" fillId="0" borderId="21" xfId="0" applyNumberFormat="1" applyFont="1" applyBorder="1"/>
    <xf numFmtId="0" fontId="11" fillId="5" borderId="11" xfId="0" applyFont="1" applyFill="1" applyBorder="1" applyAlignment="1">
      <alignment horizontal="center" wrapText="1"/>
    </xf>
    <xf numFmtId="0" fontId="3" fillId="5" borderId="21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164" fontId="4" fillId="0" borderId="21" xfId="2" applyNumberFormat="1" applyFont="1" applyBorder="1"/>
    <xf numFmtId="38" fontId="2" fillId="4" borderId="6" xfId="0" applyNumberFormat="1" applyFont="1" applyFill="1" applyBorder="1"/>
    <xf numFmtId="38" fontId="2" fillId="4" borderId="22" xfId="0" applyNumberFormat="1" applyFont="1" applyFill="1" applyBorder="1"/>
    <xf numFmtId="164" fontId="2" fillId="4" borderId="22" xfId="2" applyNumberFormat="1" applyFont="1" applyFill="1" applyBorder="1"/>
    <xf numFmtId="38" fontId="4" fillId="0" borderId="4" xfId="0" applyNumberFormat="1" applyFont="1" applyFill="1" applyBorder="1"/>
    <xf numFmtId="164" fontId="3" fillId="0" borderId="0" xfId="2" applyNumberFormat="1" applyFont="1" applyAlignment="1">
      <alignment horizontal="center"/>
    </xf>
    <xf numFmtId="38" fontId="4" fillId="0" borderId="0" xfId="0" applyNumberFormat="1" applyFont="1" applyFill="1"/>
    <xf numFmtId="38" fontId="2" fillId="0" borderId="7" xfId="0" applyNumberFormat="1" applyFont="1" applyBorder="1"/>
    <xf numFmtId="0" fontId="1" fillId="0" borderId="0" xfId="1"/>
    <xf numFmtId="38" fontId="4" fillId="0" borderId="21" xfId="2" applyNumberFormat="1" applyFont="1" applyBorder="1"/>
    <xf numFmtId="38" fontId="16" fillId="0" borderId="0" xfId="0" applyNumberFormat="1" applyFont="1"/>
    <xf numFmtId="14" fontId="16" fillId="0" borderId="0" xfId="0" applyNumberFormat="1" applyFont="1"/>
    <xf numFmtId="0" fontId="10" fillId="2" borderId="20" xfId="0" applyFont="1" applyFill="1" applyBorder="1"/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49" fontId="2" fillId="2" borderId="20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49" fontId="1" fillId="0" borderId="3" xfId="1" applyNumberFormat="1" applyBorder="1" applyAlignment="1">
      <alignment horizontal="left"/>
    </xf>
    <xf numFmtId="49" fontId="1" fillId="0" borderId="3" xfId="1" applyNumberFormat="1" applyBorder="1"/>
    <xf numFmtId="0" fontId="3" fillId="0" borderId="29" xfId="0" applyFont="1" applyFill="1" applyBorder="1"/>
    <xf numFmtId="0" fontId="3" fillId="0" borderId="30" xfId="0" applyFont="1" applyFill="1" applyBorder="1"/>
    <xf numFmtId="0" fontId="3" fillId="0" borderId="0" xfId="0" applyFont="1" applyFill="1"/>
    <xf numFmtId="0" fontId="3" fillId="0" borderId="31" xfId="0" applyFont="1" applyFill="1" applyBorder="1" applyAlignment="1">
      <alignment horizontal="left"/>
    </xf>
    <xf numFmtId="0" fontId="3" fillId="0" borderId="32" xfId="0" applyFont="1" applyFill="1" applyBorder="1"/>
    <xf numFmtId="0" fontId="3" fillId="0" borderId="32" xfId="0" applyFont="1" applyFill="1" applyBorder="1" applyAlignment="1">
      <alignment horizontal="right"/>
    </xf>
    <xf numFmtId="0" fontId="3" fillId="0" borderId="33" xfId="0" applyFont="1" applyFill="1" applyBorder="1" applyAlignment="1">
      <alignment horizontal="right"/>
    </xf>
    <xf numFmtId="0" fontId="3" fillId="0" borderId="31" xfId="0" applyFont="1" applyFill="1" applyBorder="1"/>
    <xf numFmtId="0" fontId="3" fillId="0" borderId="34" xfId="0" applyFont="1" applyFill="1" applyBorder="1"/>
    <xf numFmtId="0" fontId="3" fillId="0" borderId="0" xfId="0" applyFont="1" applyFill="1" applyBorder="1"/>
    <xf numFmtId="0" fontId="3" fillId="0" borderId="0" xfId="0" applyFont="1" applyAlignment="1">
      <alignment wrapText="1"/>
    </xf>
    <xf numFmtId="49" fontId="3" fillId="0" borderId="0" xfId="0" applyNumberFormat="1" applyFont="1"/>
    <xf numFmtId="0" fontId="3" fillId="0" borderId="1" xfId="0" applyFont="1" applyFill="1" applyBorder="1"/>
    <xf numFmtId="0" fontId="3" fillId="0" borderId="1" xfId="0" applyFont="1" applyBorder="1"/>
    <xf numFmtId="15" fontId="3" fillId="0" borderId="1" xfId="0" applyNumberFormat="1" applyFont="1" applyBorder="1"/>
    <xf numFmtId="0" fontId="3" fillId="0" borderId="27" xfId="0" applyFont="1" applyBorder="1"/>
    <xf numFmtId="49" fontId="2" fillId="2" borderId="19" xfId="0" applyNumberFormat="1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/>
    </xf>
    <xf numFmtId="49" fontId="1" fillId="0" borderId="3" xfId="1" applyNumberFormat="1" applyFill="1" applyBorder="1"/>
    <xf numFmtId="0" fontId="3" fillId="2" borderId="1" xfId="0" applyFont="1" applyFill="1" applyBorder="1"/>
    <xf numFmtId="38" fontId="4" fillId="0" borderId="2" xfId="0" applyNumberFormat="1" applyFont="1" applyFill="1" applyBorder="1"/>
    <xf numFmtId="0" fontId="3" fillId="8" borderId="1" xfId="0" applyFont="1" applyFill="1" applyBorder="1"/>
    <xf numFmtId="0" fontId="3" fillId="8" borderId="0" xfId="0" applyFont="1" applyFill="1"/>
    <xf numFmtId="0" fontId="3" fillId="2" borderId="0" xfId="0" applyFont="1" applyFill="1"/>
    <xf numFmtId="0" fontId="18" fillId="0" borderId="0" xfId="0" applyFont="1"/>
    <xf numFmtId="0" fontId="3" fillId="0" borderId="14" xfId="0" applyFont="1" applyFill="1" applyBorder="1"/>
    <xf numFmtId="0" fontId="3" fillId="0" borderId="14" xfId="0" applyFont="1" applyBorder="1"/>
    <xf numFmtId="0" fontId="3" fillId="0" borderId="13" xfId="0" applyFont="1" applyFill="1" applyBorder="1"/>
    <xf numFmtId="38" fontId="20" fillId="0" borderId="0" xfId="0" applyNumberFormat="1" applyFont="1"/>
    <xf numFmtId="0" fontId="3" fillId="0" borderId="0" xfId="0" applyFont="1" applyBorder="1"/>
    <xf numFmtId="0" fontId="3" fillId="0" borderId="29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8" borderId="14" xfId="0" applyFont="1" applyFill="1" applyBorder="1"/>
    <xf numFmtId="0" fontId="3" fillId="2" borderId="14" xfId="0" applyFont="1" applyFill="1" applyBorder="1"/>
    <xf numFmtId="38" fontId="17" fillId="4" borderId="6" xfId="0" applyNumberFormat="1" applyFont="1" applyFill="1" applyBorder="1"/>
    <xf numFmtId="38" fontId="3" fillId="0" borderId="3" xfId="0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2" fillId="2" borderId="13" xfId="0" applyNumberFormat="1" applyFont="1" applyFill="1" applyBorder="1" applyAlignment="1">
      <alignment horizontal="center" wrapText="1"/>
    </xf>
    <xf numFmtId="38" fontId="2" fillId="2" borderId="13" xfId="0" applyNumberFormat="1" applyFont="1" applyFill="1" applyBorder="1" applyAlignment="1">
      <alignment horizont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165" fontId="4" fillId="0" borderId="0" xfId="2" applyNumberFormat="1" applyFont="1" applyFill="1"/>
    <xf numFmtId="0" fontId="4" fillId="2" borderId="12" xfId="0" applyFont="1" applyFill="1" applyBorder="1"/>
    <xf numFmtId="38" fontId="4" fillId="0" borderId="17" xfId="0" applyNumberFormat="1" applyFont="1" applyBorder="1"/>
    <xf numFmtId="38" fontId="3" fillId="0" borderId="18" xfId="0" applyNumberFormat="1" applyFont="1" applyFill="1" applyBorder="1"/>
    <xf numFmtId="38" fontId="3" fillId="0" borderId="2" xfId="0" applyNumberFormat="1" applyFont="1" applyFill="1" applyBorder="1"/>
    <xf numFmtId="164" fontId="3" fillId="0" borderId="3" xfId="2" applyNumberFormat="1" applyFont="1" applyFill="1" applyBorder="1"/>
    <xf numFmtId="37" fontId="13" fillId="0" borderId="3" xfId="2" applyNumberFormat="1" applyFont="1" applyFill="1" applyBorder="1"/>
    <xf numFmtId="0" fontId="13" fillId="0" borderId="17" xfId="0" applyFont="1" applyFill="1" applyBorder="1"/>
    <xf numFmtId="0" fontId="13" fillId="0" borderId="0" xfId="0" applyFont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2" xfId="0" applyFont="1" applyBorder="1"/>
    <xf numFmtId="0" fontId="3" fillId="0" borderId="3" xfId="0" applyFont="1" applyBorder="1"/>
    <xf numFmtId="164" fontId="3" fillId="0" borderId="3" xfId="2" applyNumberFormat="1" applyFont="1" applyBorder="1"/>
    <xf numFmtId="37" fontId="3" fillId="0" borderId="3" xfId="2" applyNumberFormat="1" applyFont="1" applyBorder="1"/>
    <xf numFmtId="0" fontId="3" fillId="0" borderId="17" xfId="0" applyFont="1" applyBorder="1"/>
    <xf numFmtId="37" fontId="17" fillId="5" borderId="3" xfId="2" applyNumberFormat="1" applyFont="1" applyFill="1" applyBorder="1"/>
    <xf numFmtId="0" fontId="17" fillId="5" borderId="17" xfId="0" applyFont="1" applyFill="1" applyBorder="1"/>
    <xf numFmtId="0" fontId="17" fillId="5" borderId="4" xfId="0" applyFont="1" applyFill="1" applyBorder="1"/>
    <xf numFmtId="0" fontId="17" fillId="0" borderId="0" xfId="0" applyFont="1"/>
    <xf numFmtId="37" fontId="13" fillId="0" borderId="39" xfId="2" applyNumberFormat="1" applyFont="1" applyFill="1" applyBorder="1"/>
    <xf numFmtId="0" fontId="3" fillId="5" borderId="17" xfId="0" applyFont="1" applyFill="1" applyBorder="1"/>
    <xf numFmtId="0" fontId="3" fillId="5" borderId="4" xfId="0" applyFont="1" applyFill="1" applyBorder="1"/>
    <xf numFmtId="37" fontId="17" fillId="5" borderId="6" xfId="2" applyNumberFormat="1" applyFont="1" applyFill="1" applyBorder="1"/>
    <xf numFmtId="0" fontId="17" fillId="5" borderId="16" xfId="0" applyFont="1" applyFill="1" applyBorder="1"/>
    <xf numFmtId="0" fontId="3" fillId="0" borderId="2" xfId="0" applyFont="1" applyFill="1" applyBorder="1"/>
    <xf numFmtId="37" fontId="3" fillId="0" borderId="0" xfId="2" applyNumberFormat="1" applyFont="1"/>
    <xf numFmtId="164" fontId="3" fillId="0" borderId="0" xfId="2" applyNumberFormat="1" applyFont="1"/>
    <xf numFmtId="38" fontId="4" fillId="0" borderId="39" xfId="0" applyNumberFormat="1" applyFont="1" applyBorder="1"/>
    <xf numFmtId="164" fontId="13" fillId="0" borderId="3" xfId="2" applyNumberFormat="1" applyFont="1" applyBorder="1"/>
    <xf numFmtId="37" fontId="3" fillId="0" borderId="3" xfId="2" applyNumberFormat="1" applyFont="1" applyFill="1" applyBorder="1"/>
    <xf numFmtId="0" fontId="17" fillId="5" borderId="7" xfId="0" applyFont="1" applyFill="1" applyBorder="1"/>
    <xf numFmtId="49" fontId="2" fillId="2" borderId="19" xfId="0" applyNumberFormat="1" applyFont="1" applyFill="1" applyBorder="1" applyAlignment="1">
      <alignment vertical="center"/>
    </xf>
    <xf numFmtId="49" fontId="4" fillId="0" borderId="18" xfId="0" applyNumberFormat="1" applyFont="1" applyFill="1" applyBorder="1" applyAlignment="1">
      <alignment vertical="center"/>
    </xf>
    <xf numFmtId="38" fontId="4" fillId="0" borderId="18" xfId="0" applyNumberFormat="1" applyFont="1" applyFill="1" applyBorder="1"/>
    <xf numFmtId="0" fontId="3" fillId="0" borderId="40" xfId="0" applyFont="1" applyFill="1" applyBorder="1"/>
    <xf numFmtId="38" fontId="4" fillId="13" borderId="3" xfId="0" applyNumberFormat="1" applyFont="1" applyFill="1" applyBorder="1"/>
    <xf numFmtId="38" fontId="4" fillId="0" borderId="36" xfId="0" applyNumberFormat="1" applyFont="1" applyBorder="1"/>
    <xf numFmtId="38" fontId="3" fillId="0" borderId="18" xfId="0" applyNumberFormat="1" applyFont="1" applyBorder="1"/>
    <xf numFmtId="38" fontId="4" fillId="0" borderId="0" xfId="2" applyNumberFormat="1" applyFont="1" applyBorder="1"/>
    <xf numFmtId="49" fontId="3" fillId="0" borderId="18" xfId="0" quotePrefix="1" applyNumberFormat="1" applyFont="1" applyBorder="1" applyAlignment="1">
      <alignment horizontal="center"/>
    </xf>
    <xf numFmtId="38" fontId="4" fillId="14" borderId="3" xfId="0" applyNumberFormat="1" applyFont="1" applyFill="1" applyBorder="1"/>
    <xf numFmtId="49" fontId="4" fillId="0" borderId="18" xfId="0" quotePrefix="1" applyNumberFormat="1" applyFont="1" applyBorder="1" applyAlignment="1">
      <alignment horizontal="center"/>
    </xf>
    <xf numFmtId="38" fontId="23" fillId="2" borderId="3" xfId="0" applyNumberFormat="1" applyFont="1" applyFill="1" applyBorder="1"/>
    <xf numFmtId="49" fontId="3" fillId="0" borderId="18" xfId="0" applyNumberFormat="1" applyFont="1" applyFill="1" applyBorder="1" applyAlignment="1">
      <alignment horizontal="center"/>
    </xf>
    <xf numFmtId="0" fontId="1" fillId="0" borderId="0" xfId="1" applyFill="1"/>
    <xf numFmtId="49" fontId="21" fillId="0" borderId="3" xfId="1" applyNumberFormat="1" applyFont="1" applyFill="1" applyBorder="1"/>
    <xf numFmtId="49" fontId="22" fillId="0" borderId="3" xfId="1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2" fillId="0" borderId="6" xfId="0" applyNumberFormat="1" applyFont="1" applyFill="1" applyBorder="1"/>
    <xf numFmtId="38" fontId="2" fillId="0" borderId="16" xfId="0" applyNumberFormat="1" applyFont="1" applyFill="1" applyBorder="1"/>
    <xf numFmtId="38" fontId="2" fillId="0" borderId="7" xfId="0" applyNumberFormat="1" applyFont="1" applyFill="1" applyBorder="1"/>
    <xf numFmtId="49" fontId="4" fillId="0" borderId="38" xfId="0" applyNumberFormat="1" applyFont="1" applyFill="1" applyBorder="1" applyAlignment="1">
      <alignment horizontal="center"/>
    </xf>
    <xf numFmtId="49" fontId="4" fillId="0" borderId="38" xfId="0" applyNumberFormat="1" applyFont="1" applyFill="1" applyBorder="1" applyAlignment="1">
      <alignment horizontal="left"/>
    </xf>
    <xf numFmtId="38" fontId="4" fillId="0" borderId="39" xfId="0" applyNumberFormat="1" applyFont="1" applyFill="1" applyBorder="1"/>
    <xf numFmtId="38" fontId="4" fillId="0" borderId="41" xfId="0" applyNumberFormat="1" applyFont="1" applyFill="1" applyBorder="1"/>
    <xf numFmtId="38" fontId="4" fillId="0" borderId="42" xfId="0" applyNumberFormat="1" applyFont="1" applyFill="1" applyBorder="1"/>
    <xf numFmtId="38" fontId="4" fillId="0" borderId="43" xfId="0" applyNumberFormat="1" applyFont="1" applyFill="1" applyBorder="1"/>
    <xf numFmtId="38" fontId="4" fillId="0" borderId="0" xfId="0" applyNumberFormat="1" applyFont="1"/>
    <xf numFmtId="38" fontId="24" fillId="3" borderId="4" xfId="0" applyNumberFormat="1" applyFont="1" applyFill="1" applyBorder="1"/>
    <xf numFmtId="38" fontId="4" fillId="16" borderId="3" xfId="0" applyNumberFormat="1" applyFont="1" applyFill="1" applyBorder="1"/>
    <xf numFmtId="38" fontId="3" fillId="3" borderId="3" xfId="0" applyNumberFormat="1" applyFont="1" applyFill="1" applyBorder="1"/>
    <xf numFmtId="0" fontId="2" fillId="2" borderId="1" xfId="0" applyFont="1" applyFill="1" applyBorder="1" applyAlignment="1">
      <alignment horizontal="center" wrapText="1"/>
    </xf>
    <xf numFmtId="37" fontId="17" fillId="17" borderId="3" xfId="2" applyNumberFormat="1" applyFont="1" applyFill="1" applyBorder="1"/>
    <xf numFmtId="38" fontId="4" fillId="3" borderId="12" xfId="0" applyNumberFormat="1" applyFont="1" applyFill="1" applyBorder="1"/>
    <xf numFmtId="0" fontId="4" fillId="0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4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8" fontId="2" fillId="2" borderId="1" xfId="0" applyNumberFormat="1" applyFont="1" applyFill="1" applyBorder="1" applyAlignment="1">
      <alignment horizontal="center" vertical="center" wrapText="1"/>
    </xf>
    <xf numFmtId="38" fontId="2" fillId="2" borderId="1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2" fillId="2" borderId="20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38" fontId="5" fillId="2" borderId="1" xfId="0" applyNumberFormat="1" applyFont="1" applyFill="1" applyBorder="1" applyAlignment="1">
      <alignment horizontal="center" vertical="center" wrapText="1"/>
    </xf>
    <xf numFmtId="164" fontId="26" fillId="0" borderId="0" xfId="2" applyNumberFormat="1" applyFont="1" applyAlignment="1"/>
    <xf numFmtId="164" fontId="26" fillId="5" borderId="13" xfId="2" applyNumberFormat="1" applyFont="1" applyFill="1" applyBorder="1" applyAlignment="1"/>
    <xf numFmtId="14" fontId="2" fillId="2" borderId="1" xfId="2" applyNumberFormat="1" applyFont="1" applyFill="1" applyBorder="1" applyAlignment="1"/>
    <xf numFmtId="164" fontId="2" fillId="2" borderId="1" xfId="2" applyNumberFormat="1" applyFont="1" applyFill="1" applyBorder="1" applyAlignment="1"/>
    <xf numFmtId="164" fontId="2" fillId="9" borderId="1" xfId="2" applyNumberFormat="1" applyFont="1" applyFill="1" applyBorder="1" applyAlignment="1">
      <alignment horizontal="center"/>
    </xf>
    <xf numFmtId="164" fontId="2" fillId="4" borderId="1" xfId="2" applyNumberFormat="1" applyFont="1" applyFill="1" applyBorder="1" applyAlignment="1">
      <alignment horizontal="center"/>
    </xf>
    <xf numFmtId="164" fontId="2" fillId="5" borderId="1" xfId="2" applyNumberFormat="1" applyFont="1" applyFill="1" applyBorder="1" applyAlignment="1"/>
    <xf numFmtId="164" fontId="19" fillId="0" borderId="1" xfId="2" applyNumberFormat="1" applyFont="1" applyBorder="1" applyAlignment="1"/>
    <xf numFmtId="164" fontId="19" fillId="5" borderId="1" xfId="2" applyNumberFormat="1" applyFont="1" applyFill="1" applyBorder="1" applyAlignment="1">
      <alignment horizontal="right"/>
    </xf>
    <xf numFmtId="164" fontId="19" fillId="5" borderId="1" xfId="2" applyNumberFormat="1" applyFont="1" applyFill="1" applyBorder="1" applyAlignment="1"/>
    <xf numFmtId="164" fontId="19" fillId="6" borderId="1" xfId="2" applyNumberFormat="1" applyFont="1" applyFill="1" applyBorder="1" applyAlignment="1"/>
    <xf numFmtId="14" fontId="2" fillId="6" borderId="1" xfId="2" applyNumberFormat="1" applyFont="1" applyFill="1" applyBorder="1" applyAlignment="1"/>
    <xf numFmtId="164" fontId="2" fillId="6" borderId="1" xfId="2" applyNumberFormat="1" applyFont="1" applyFill="1" applyBorder="1" applyAlignment="1"/>
    <xf numFmtId="164" fontId="19" fillId="0" borderId="1" xfId="2" applyNumberFormat="1" applyFont="1" applyFill="1" applyBorder="1" applyAlignment="1">
      <alignment horizontal="right"/>
    </xf>
    <xf numFmtId="164" fontId="19" fillId="0" borderId="1" xfId="2" applyNumberFormat="1" applyFont="1" applyFill="1" applyBorder="1" applyAlignment="1"/>
    <xf numFmtId="164" fontId="26" fillId="0" borderId="0" xfId="2" applyNumberFormat="1" applyFont="1" applyFill="1" applyAlignment="1"/>
    <xf numFmtId="14" fontId="27" fillId="6" borderId="1" xfId="2" applyNumberFormat="1" applyFont="1" applyFill="1" applyBorder="1" applyAlignment="1"/>
    <xf numFmtId="164" fontId="27" fillId="6" borderId="1" xfId="2" applyNumberFormat="1" applyFont="1" applyFill="1" applyBorder="1" applyAlignment="1"/>
    <xf numFmtId="164" fontId="28" fillId="5" borderId="1" xfId="2" applyNumberFormat="1" applyFont="1" applyFill="1" applyBorder="1" applyAlignment="1">
      <alignment horizontal="right"/>
    </xf>
    <xf numFmtId="164" fontId="29" fillId="0" borderId="0" xfId="2" applyNumberFormat="1" applyFont="1" applyAlignment="1"/>
    <xf numFmtId="164" fontId="19" fillId="13" borderId="1" xfId="2" applyNumberFormat="1" applyFont="1" applyFill="1" applyBorder="1" applyAlignment="1">
      <alignment horizontal="right"/>
    </xf>
    <xf numFmtId="164" fontId="2" fillId="0" borderId="25" xfId="2" applyNumberFormat="1" applyFont="1" applyFill="1" applyBorder="1" applyAlignment="1"/>
    <xf numFmtId="164" fontId="2" fillId="15" borderId="0" xfId="2" applyNumberFormat="1" applyFont="1" applyFill="1" applyBorder="1" applyAlignment="1"/>
    <xf numFmtId="164" fontId="2" fillId="0" borderId="0" xfId="2" applyNumberFormat="1" applyFont="1" applyFill="1" applyBorder="1" applyAlignment="1"/>
    <xf numFmtId="164" fontId="27" fillId="0" borderId="0" xfId="2" applyNumberFormat="1" applyFont="1" applyFill="1" applyBorder="1" applyAlignment="1"/>
    <xf numFmtId="164" fontId="2" fillId="11" borderId="0" xfId="2" applyNumberFormat="1" applyFont="1" applyFill="1" applyBorder="1" applyAlignment="1"/>
    <xf numFmtId="164" fontId="2" fillId="7" borderId="26" xfId="2" applyNumberFormat="1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left"/>
    </xf>
    <xf numFmtId="164" fontId="19" fillId="12" borderId="1" xfId="2" applyNumberFormat="1" applyFont="1" applyFill="1" applyBorder="1" applyAlignment="1"/>
    <xf numFmtId="164" fontId="19" fillId="13" borderId="1" xfId="2" applyNumberFormat="1" applyFont="1" applyFill="1" applyBorder="1" applyAlignment="1"/>
    <xf numFmtId="164" fontId="28" fillId="0" borderId="1" xfId="2" applyNumberFormat="1" applyFont="1" applyBorder="1" applyAlignment="1"/>
    <xf numFmtId="164" fontId="30" fillId="0" borderId="1" xfId="2" applyNumberFormat="1" applyFont="1" applyBorder="1" applyAlignment="1"/>
    <xf numFmtId="164" fontId="19" fillId="18" borderId="1" xfId="2" applyNumberFormat="1" applyFont="1" applyFill="1" applyBorder="1" applyAlignment="1"/>
    <xf numFmtId="164" fontId="30" fillId="0" borderId="1" xfId="2" applyNumberFormat="1" applyFont="1" applyFill="1" applyBorder="1" applyAlignment="1"/>
    <xf numFmtId="164" fontId="19" fillId="0" borderId="1" xfId="2" applyNumberFormat="1" applyFont="1" applyBorder="1" applyAlignment="1">
      <alignment horizontal="left"/>
    </xf>
    <xf numFmtId="164" fontId="2" fillId="0" borderId="0" xfId="2" applyNumberFormat="1" applyFont="1" applyAlignment="1"/>
    <xf numFmtId="164" fontId="2" fillId="0" borderId="1" xfId="2" applyNumberFormat="1" applyFont="1" applyBorder="1" applyAlignment="1"/>
    <xf numFmtId="164" fontId="2" fillId="4" borderId="1" xfId="2" applyNumberFormat="1" applyFont="1" applyFill="1" applyBorder="1" applyAlignment="1"/>
    <xf numFmtId="164" fontId="2" fillId="19" borderId="1" xfId="2" applyNumberFormat="1" applyFont="1" applyFill="1" applyBorder="1" applyAlignment="1">
      <alignment horizontal="center"/>
    </xf>
    <xf numFmtId="164" fontId="3" fillId="2" borderId="3" xfId="2" applyNumberFormat="1" applyFont="1" applyFill="1" applyBorder="1"/>
    <xf numFmtId="164" fontId="3" fillId="3" borderId="3" xfId="2" applyNumberFormat="1" applyFont="1" applyFill="1" applyBorder="1"/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/>
    <xf numFmtId="38" fontId="4" fillId="0" borderId="1" xfId="0" applyNumberFormat="1" applyFont="1" applyFill="1" applyBorder="1"/>
    <xf numFmtId="38" fontId="2" fillId="5" borderId="6" xfId="0" applyNumberFormat="1" applyFont="1" applyFill="1" applyBorder="1"/>
    <xf numFmtId="38" fontId="2" fillId="5" borderId="16" xfId="0" applyNumberFormat="1" applyFont="1" applyFill="1" applyBorder="1"/>
    <xf numFmtId="38" fontId="2" fillId="5" borderId="7" xfId="0" applyNumberFormat="1" applyFont="1" applyFill="1" applyBorder="1"/>
    <xf numFmtId="38" fontId="25" fillId="3" borderId="1" xfId="0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2" fillId="4" borderId="1" xfId="0" applyNumberFormat="1" applyFont="1" applyFill="1" applyBorder="1"/>
    <xf numFmtId="38" fontId="2" fillId="4" borderId="16" xfId="0" applyNumberFormat="1" applyFont="1" applyFill="1" applyBorder="1"/>
    <xf numFmtId="38" fontId="2" fillId="4" borderId="7" xfId="0" applyNumberFormat="1" applyFont="1" applyFill="1" applyBorder="1"/>
    <xf numFmtId="38" fontId="3" fillId="13" borderId="3" xfId="0" applyNumberFormat="1" applyFont="1" applyFill="1" applyBorder="1"/>
    <xf numFmtId="38" fontId="21" fillId="3" borderId="3" xfId="0" applyNumberFormat="1" applyFont="1" applyFill="1" applyBorder="1"/>
    <xf numFmtId="49" fontId="1" fillId="0" borderId="3" xfId="1" applyNumberFormat="1" applyFont="1" applyBorder="1"/>
    <xf numFmtId="49" fontId="3" fillId="22" borderId="12" xfId="0" applyNumberFormat="1" applyFont="1" applyFill="1" applyBorder="1"/>
    <xf numFmtId="49" fontId="4" fillId="22" borderId="3" xfId="0" applyNumberFormat="1" applyFont="1" applyFill="1" applyBorder="1" applyAlignment="1">
      <alignment horizontal="left" vertical="center"/>
    </xf>
    <xf numFmtId="0" fontId="4" fillId="21" borderId="4" xfId="0" applyFont="1" applyFill="1" applyBorder="1"/>
    <xf numFmtId="0" fontId="2" fillId="21" borderId="7" xfId="0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164" fontId="2" fillId="23" borderId="1" xfId="2" applyNumberFormat="1" applyFont="1" applyFill="1" applyBorder="1" applyAlignment="1">
      <alignment vertical="center"/>
    </xf>
    <xf numFmtId="164" fontId="2" fillId="7" borderId="1" xfId="2" applyNumberFormat="1" applyFont="1" applyFill="1" applyBorder="1" applyAlignment="1">
      <alignment vertical="center"/>
    </xf>
    <xf numFmtId="164" fontId="26" fillId="0" borderId="0" xfId="2" applyNumberFormat="1" applyFont="1" applyAlignment="1">
      <alignment vertical="center"/>
    </xf>
    <xf numFmtId="164" fontId="2" fillId="11" borderId="1" xfId="2" applyNumberFormat="1" applyFont="1" applyFill="1" applyBorder="1" applyAlignment="1">
      <alignment horizontal="center"/>
    </xf>
    <xf numFmtId="49" fontId="3" fillId="0" borderId="45" xfId="0" applyNumberFormat="1" applyFont="1" applyBorder="1" applyAlignment="1">
      <alignment horizontal="center"/>
    </xf>
    <xf numFmtId="49" fontId="3" fillId="0" borderId="39" xfId="0" applyNumberFormat="1" applyFont="1" applyBorder="1"/>
    <xf numFmtId="38" fontId="3" fillId="0" borderId="44" xfId="0" applyNumberFormat="1" applyFont="1" applyBorder="1"/>
    <xf numFmtId="38" fontId="3" fillId="0" borderId="39" xfId="0" applyNumberFormat="1" applyFont="1" applyBorder="1"/>
    <xf numFmtId="49" fontId="1" fillId="0" borderId="39" xfId="1" applyNumberFormat="1" applyBorder="1"/>
    <xf numFmtId="49" fontId="3" fillId="0" borderId="3" xfId="0" applyNumberFormat="1" applyFont="1" applyFill="1" applyBorder="1" applyAlignment="1">
      <alignment horizontal="center"/>
    </xf>
    <xf numFmtId="0" fontId="0" fillId="0" borderId="3" xfId="0" applyFill="1" applyBorder="1"/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9" xfId="0" applyNumberFormat="1" applyFont="1" applyFill="1" applyBorder="1" applyAlignment="1">
      <alignment horizontal="center" vertical="center" wrapText="1"/>
    </xf>
    <xf numFmtId="49" fontId="5" fillId="2" borderId="19" xfId="0" applyNumberFormat="1" applyFont="1" applyFill="1" applyBorder="1" applyAlignment="1">
      <alignment horizontal="center" wrapText="1"/>
    </xf>
    <xf numFmtId="38" fontId="4" fillId="2" borderId="45" xfId="0" applyNumberFormat="1" applyFont="1" applyFill="1" applyBorder="1"/>
    <xf numFmtId="49" fontId="0" fillId="22" borderId="0" xfId="0" applyNumberFormat="1" applyFill="1" applyAlignment="1">
      <alignment horizontal="center"/>
    </xf>
    <xf numFmtId="49" fontId="10" fillId="22" borderId="0" xfId="0" applyNumberFormat="1" applyFont="1" applyFill="1" applyAlignment="1">
      <alignment horizontal="center"/>
    </xf>
    <xf numFmtId="49" fontId="3" fillId="22" borderId="12" xfId="0" applyNumberFormat="1" applyFont="1" applyFill="1" applyBorder="1" applyAlignment="1">
      <alignment horizontal="center"/>
    </xf>
    <xf numFmtId="164" fontId="26" fillId="0" borderId="0" xfId="2" applyNumberFormat="1" applyFont="1"/>
    <xf numFmtId="164" fontId="32" fillId="4" borderId="0" xfId="2" applyNumberFormat="1" applyFont="1" applyFill="1"/>
    <xf numFmtId="164" fontId="5" fillId="2" borderId="1" xfId="2" applyNumberFormat="1" applyFont="1" applyFill="1" applyBorder="1" applyAlignment="1">
      <alignment horizontal="center" vertical="center" wrapText="1"/>
    </xf>
    <xf numFmtId="38" fontId="33" fillId="0" borderId="0" xfId="0" applyNumberFormat="1" applyFont="1"/>
    <xf numFmtId="0" fontId="34" fillId="2" borderId="1" xfId="0" applyFont="1" applyFill="1" applyBorder="1"/>
    <xf numFmtId="38" fontId="35" fillId="2" borderId="3" xfId="0" applyNumberFormat="1" applyFont="1" applyFill="1" applyBorder="1"/>
    <xf numFmtId="38" fontId="12" fillId="4" borderId="6" xfId="0" applyNumberFormat="1" applyFont="1" applyFill="1" applyBorder="1"/>
    <xf numFmtId="164" fontId="19" fillId="24" borderId="12" xfId="2" applyNumberFormat="1" applyFont="1" applyFill="1" applyBorder="1"/>
    <xf numFmtId="0" fontId="10" fillId="21" borderId="0" xfId="0" applyFont="1" applyFill="1" applyAlignment="1">
      <alignment horizontal="left" vertical="center"/>
    </xf>
    <xf numFmtId="0" fontId="4" fillId="21" borderId="4" xfId="0" applyFont="1" applyFill="1" applyBorder="1" applyAlignment="1">
      <alignment horizontal="left" vertical="center"/>
    </xf>
    <xf numFmtId="0" fontId="3" fillId="21" borderId="4" xfId="0" applyFont="1" applyFill="1" applyBorder="1" applyAlignment="1">
      <alignment horizontal="left" vertical="center"/>
    </xf>
    <xf numFmtId="0" fontId="4" fillId="21" borderId="4" xfId="0" applyFont="1" applyFill="1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3" fillId="21" borderId="4" xfId="0" applyFont="1" applyFill="1" applyBorder="1"/>
    <xf numFmtId="49" fontId="4" fillId="22" borderId="12" xfId="0" applyNumberFormat="1" applyFont="1" applyFill="1" applyBorder="1" applyAlignment="1">
      <alignment horizontal="center"/>
    </xf>
    <xf numFmtId="49" fontId="4" fillId="22" borderId="3" xfId="0" applyNumberFormat="1" applyFont="1" applyFill="1" applyBorder="1" applyAlignment="1">
      <alignment horizontal="center" vertical="center"/>
    </xf>
    <xf numFmtId="0" fontId="4" fillId="21" borderId="43" xfId="0" applyFont="1" applyFill="1" applyBorder="1"/>
    <xf numFmtId="49" fontId="4" fillId="22" borderId="3" xfId="0" applyNumberFormat="1" applyFont="1" applyFill="1" applyBorder="1"/>
    <xf numFmtId="164" fontId="10" fillId="4" borderId="0" xfId="2" applyNumberFormat="1" applyFont="1" applyFill="1"/>
    <xf numFmtId="164" fontId="5" fillId="2" borderId="1" xfId="2" applyNumberFormat="1" applyFont="1" applyFill="1" applyBorder="1" applyAlignment="1">
      <alignment horizontal="center" vertical="center"/>
    </xf>
    <xf numFmtId="164" fontId="4" fillId="12" borderId="12" xfId="2" applyNumberFormat="1" applyFont="1" applyFill="1" applyBorder="1"/>
    <xf numFmtId="164" fontId="2" fillId="12" borderId="6" xfId="2" applyNumberFormat="1" applyFont="1" applyFill="1" applyBorder="1"/>
    <xf numFmtId="164" fontId="17" fillId="12" borderId="6" xfId="2" applyNumberFormat="1" applyFont="1" applyFill="1" applyBorder="1"/>
    <xf numFmtId="164" fontId="15" fillId="0" borderId="0" xfId="2" applyNumberFormat="1" applyFont="1" applyAlignment="1">
      <alignment horizontal="center"/>
    </xf>
    <xf numFmtId="164" fontId="10" fillId="4" borderId="0" xfId="2" applyNumberFormat="1" applyFont="1" applyFill="1" applyAlignment="1">
      <alignment horizontal="center"/>
    </xf>
    <xf numFmtId="164" fontId="0" fillId="0" borderId="0" xfId="2" applyNumberFormat="1" applyFont="1" applyAlignment="1">
      <alignment horizontal="center"/>
    </xf>
    <xf numFmtId="164" fontId="4" fillId="0" borderId="12" xfId="2" applyNumberFormat="1" applyFont="1" applyFill="1" applyBorder="1"/>
    <xf numFmtId="164" fontId="4" fillId="0" borderId="12" xfId="2" applyNumberFormat="1" applyFont="1" applyBorder="1"/>
    <xf numFmtId="164" fontId="4" fillId="24" borderId="12" xfId="2" applyNumberFormat="1" applyFont="1" applyFill="1" applyBorder="1"/>
    <xf numFmtId="164" fontId="17" fillId="24" borderId="6" xfId="2" applyNumberFormat="1" applyFont="1" applyFill="1" applyBorder="1"/>
    <xf numFmtId="38" fontId="25" fillId="0" borderId="4" xfId="0" applyNumberFormat="1" applyFont="1" applyFill="1" applyBorder="1"/>
    <xf numFmtId="164" fontId="36" fillId="12" borderId="12" xfId="2" applyNumberFormat="1" applyFont="1" applyFill="1" applyBorder="1"/>
    <xf numFmtId="38" fontId="37" fillId="0" borderId="4" xfId="0" applyNumberFormat="1" applyFont="1" applyFill="1" applyBorder="1"/>
    <xf numFmtId="164" fontId="12" fillId="5" borderId="6" xfId="2" applyNumberFormat="1" applyFont="1" applyFill="1" applyBorder="1"/>
    <xf numFmtId="164" fontId="4" fillId="12" borderId="3" xfId="2" applyNumberFormat="1" applyFont="1" applyFill="1" applyBorder="1" applyAlignment="1">
      <alignment horizontal="center"/>
    </xf>
    <xf numFmtId="38" fontId="2" fillId="7" borderId="6" xfId="0" applyNumberFormat="1" applyFont="1" applyFill="1" applyBorder="1"/>
    <xf numFmtId="0" fontId="4" fillId="12" borderId="12" xfId="0" applyFont="1" applyFill="1" applyBorder="1"/>
    <xf numFmtId="0" fontId="3" fillId="12" borderId="3" xfId="0" applyFont="1" applyFill="1" applyBorder="1"/>
    <xf numFmtId="0" fontId="4" fillId="12" borderId="3" xfId="0" applyFont="1" applyFill="1" applyBorder="1"/>
    <xf numFmtId="0" fontId="3" fillId="12" borderId="12" xfId="0" applyFont="1" applyFill="1" applyBorder="1"/>
    <xf numFmtId="164" fontId="4" fillId="2" borderId="3" xfId="2" applyNumberFormat="1" applyFont="1" applyFill="1" applyBorder="1"/>
    <xf numFmtId="164" fontId="4" fillId="2" borderId="12" xfId="2" applyNumberFormat="1" applyFont="1" applyFill="1" applyBorder="1"/>
    <xf numFmtId="38" fontId="5" fillId="3" borderId="1" xfId="0" applyNumberFormat="1" applyFont="1" applyFill="1" applyBorder="1"/>
    <xf numFmtId="0" fontId="4" fillId="3" borderId="12" xfId="0" applyFont="1" applyFill="1" applyBorder="1"/>
    <xf numFmtId="0" fontId="4" fillId="20" borderId="4" xfId="0" applyFont="1" applyFill="1" applyBorder="1"/>
    <xf numFmtId="0" fontId="3" fillId="20" borderId="17" xfId="0" applyFont="1" applyFill="1" applyBorder="1"/>
    <xf numFmtId="0" fontId="13" fillId="20" borderId="4" xfId="0" applyFont="1" applyFill="1" applyBorder="1"/>
    <xf numFmtId="0" fontId="3" fillId="20" borderId="4" xfId="0" applyFont="1" applyFill="1" applyBorder="1"/>
    <xf numFmtId="0" fontId="3" fillId="0" borderId="3" xfId="0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49" fontId="4" fillId="0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5" fillId="24" borderId="12" xfId="2" applyNumberFormat="1" applyFont="1" applyFill="1" applyBorder="1"/>
    <xf numFmtId="164" fontId="35" fillId="12" borderId="12" xfId="2" applyNumberFormat="1" applyFont="1" applyFill="1" applyBorder="1"/>
    <xf numFmtId="38" fontId="35" fillId="0" borderId="3" xfId="0" applyNumberFormat="1" applyFont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2" fillId="0" borderId="0" xfId="0" applyNumberFormat="1" applyFont="1" applyFill="1" applyBorder="1"/>
    <xf numFmtId="38" fontId="27" fillId="5" borderId="6" xfId="0" applyNumberFormat="1" applyFont="1" applyFill="1" applyBorder="1"/>
    <xf numFmtId="38" fontId="27" fillId="4" borderId="1" xfId="0" applyNumberFormat="1" applyFont="1" applyFill="1" applyBorder="1"/>
    <xf numFmtId="0" fontId="3" fillId="21" borderId="43" xfId="0" applyFont="1" applyFill="1" applyBorder="1"/>
    <xf numFmtId="49" fontId="39" fillId="0" borderId="3" xfId="1" applyNumberFormat="1" applyFont="1" applyBorder="1"/>
    <xf numFmtId="49" fontId="39" fillId="0" borderId="3" xfId="1" applyNumberFormat="1" applyFont="1" applyBorder="1" applyAlignment="1">
      <alignment horizontal="left"/>
    </xf>
    <xf numFmtId="49" fontId="39" fillId="0" borderId="18" xfId="1" quotePrefix="1" applyNumberFormat="1" applyFont="1" applyBorder="1" applyAlignment="1">
      <alignment horizontal="left"/>
    </xf>
    <xf numFmtId="38" fontId="35" fillId="0" borderId="3" xfId="0" applyNumberFormat="1" applyFont="1" applyFill="1" applyBorder="1"/>
    <xf numFmtId="38" fontId="4" fillId="0" borderId="45" xfId="0" applyNumberFormat="1" applyFont="1" applyFill="1" applyBorder="1"/>
    <xf numFmtId="0" fontId="4" fillId="0" borderId="17" xfId="0" applyFont="1" applyBorder="1" applyAlignment="1">
      <alignment horizontal="center"/>
    </xf>
    <xf numFmtId="164" fontId="4" fillId="12" borderId="46" xfId="2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49" fontId="3" fillId="22" borderId="0" xfId="0" applyNumberFormat="1" applyFont="1" applyFill="1" applyAlignment="1">
      <alignment horizontal="center"/>
    </xf>
    <xf numFmtId="164" fontId="19" fillId="0" borderId="0" xfId="2" applyNumberFormat="1" applyFont="1"/>
    <xf numFmtId="38" fontId="35" fillId="0" borderId="0" xfId="0" applyNumberFormat="1" applyFont="1"/>
    <xf numFmtId="38" fontId="3" fillId="0" borderId="0" xfId="0" applyNumberFormat="1" applyFont="1"/>
    <xf numFmtId="38" fontId="13" fillId="0" borderId="0" xfId="0" applyNumberFormat="1" applyFont="1"/>
    <xf numFmtId="14" fontId="13" fillId="0" borderId="0" xfId="0" applyNumberFormat="1" applyFont="1"/>
    <xf numFmtId="0" fontId="3" fillId="21" borderId="0" xfId="0" applyFont="1" applyFill="1" applyAlignment="1">
      <alignment horizontal="left" vertical="center"/>
    </xf>
    <xf numFmtId="0" fontId="0" fillId="0" borderId="3" xfId="0" applyBorder="1"/>
    <xf numFmtId="0" fontId="1" fillId="0" borderId="3" xfId="1" applyBorder="1"/>
    <xf numFmtId="49" fontId="4" fillId="0" borderId="47" xfId="0" applyNumberFormat="1" applyFont="1" applyFill="1" applyBorder="1" applyAlignment="1">
      <alignment horizontal="center"/>
    </xf>
    <xf numFmtId="0" fontId="4" fillId="20" borderId="28" xfId="0" applyFont="1" applyFill="1" applyBorder="1"/>
    <xf numFmtId="164" fontId="4" fillId="2" borderId="39" xfId="2" applyNumberFormat="1" applyFont="1" applyFill="1" applyBorder="1"/>
    <xf numFmtId="49" fontId="4" fillId="0" borderId="46" xfId="0" applyNumberFormat="1" applyFont="1" applyFill="1" applyBorder="1" applyAlignment="1">
      <alignment horizontal="center" vertical="center"/>
    </xf>
    <xf numFmtId="49" fontId="21" fillId="0" borderId="12" xfId="1" applyNumberFormat="1" applyFont="1" applyFill="1" applyBorder="1"/>
    <xf numFmtId="38" fontId="4" fillId="0" borderId="18" xfId="0" applyNumberFormat="1" applyFont="1" applyBorder="1"/>
    <xf numFmtId="38" fontId="4" fillId="0" borderId="46" xfId="0" applyNumberFormat="1" applyFont="1" applyFill="1" applyBorder="1"/>
    <xf numFmtId="0" fontId="3" fillId="0" borderId="18" xfId="0" applyFont="1" applyFill="1" applyBorder="1"/>
    <xf numFmtId="0" fontId="3" fillId="0" borderId="40" xfId="0" applyFont="1" applyBorder="1"/>
    <xf numFmtId="49" fontId="4" fillId="0" borderId="44" xfId="0" applyNumberFormat="1" applyFont="1" applyBorder="1" applyAlignment="1">
      <alignment horizontal="center"/>
    </xf>
    <xf numFmtId="49" fontId="4" fillId="0" borderId="45" xfId="0" applyNumberFormat="1" applyFont="1" applyBorder="1" applyAlignment="1">
      <alignment horizontal="center"/>
    </xf>
    <xf numFmtId="49" fontId="1" fillId="0" borderId="39" xfId="1" applyNumberFormat="1" applyBorder="1" applyAlignment="1">
      <alignment horizontal="left"/>
    </xf>
    <xf numFmtId="0" fontId="4" fillId="0" borderId="39" xfId="0" applyFont="1" applyBorder="1"/>
    <xf numFmtId="0" fontId="4" fillId="12" borderId="39" xfId="0" applyFont="1" applyFill="1" applyBorder="1"/>
    <xf numFmtId="38" fontId="4" fillId="3" borderId="41" xfId="0" applyNumberFormat="1" applyFont="1" applyFill="1" applyBorder="1"/>
    <xf numFmtId="38" fontId="4" fillId="0" borderId="41" xfId="0" applyNumberFormat="1" applyFont="1" applyBorder="1"/>
    <xf numFmtId="49" fontId="1" fillId="0" borderId="12" xfId="1" applyNumberFormat="1" applyBorder="1" applyAlignment="1">
      <alignment horizontal="left"/>
    </xf>
    <xf numFmtId="38" fontId="3" fillId="3" borderId="39" xfId="0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4" fillId="2" borderId="4" xfId="0" applyNumberFormat="1" applyFont="1" applyFill="1" applyBorder="1"/>
    <xf numFmtId="38" fontId="4" fillId="2" borderId="15" xfId="0" applyNumberFormat="1" applyFont="1" applyFill="1" applyBorder="1"/>
    <xf numFmtId="38" fontId="4" fillId="2" borderId="12" xfId="0" applyNumberFormat="1" applyFont="1" applyFill="1" applyBorder="1"/>
    <xf numFmtId="49" fontId="4" fillId="2" borderId="3" xfId="0" applyNumberFormat="1" applyFont="1" applyFill="1" applyBorder="1" applyAlignment="1">
      <alignment horizontal="left"/>
    </xf>
    <xf numFmtId="49" fontId="4" fillId="2" borderId="18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3" fillId="6" borderId="39" xfId="0" applyNumberFormat="1" applyFont="1" applyFill="1" applyBorder="1"/>
    <xf numFmtId="49" fontId="1" fillId="0" borderId="3" xfId="1" applyNumberFormat="1" applyFill="1" applyBorder="1" applyAlignment="1">
      <alignment horizontal="left"/>
    </xf>
    <xf numFmtId="49" fontId="2" fillId="2" borderId="19" xfId="0" applyNumberFormat="1" applyFont="1" applyFill="1" applyBorder="1" applyAlignment="1">
      <alignment horizontal="center" vertical="center" wrapText="1"/>
    </xf>
    <xf numFmtId="38" fontId="4" fillId="0" borderId="42" xfId="0" applyNumberFormat="1" applyFont="1" applyBorder="1"/>
    <xf numFmtId="0" fontId="4" fillId="20" borderId="43" xfId="0" applyFont="1" applyFill="1" applyBorder="1"/>
    <xf numFmtId="49" fontId="4" fillId="0" borderId="47" xfId="0" applyNumberFormat="1" applyFont="1" applyBorder="1" applyAlignment="1">
      <alignment horizontal="center"/>
    </xf>
    <xf numFmtId="49" fontId="4" fillId="0" borderId="46" xfId="0" applyNumberFormat="1" applyFont="1" applyBorder="1" applyAlignment="1">
      <alignment horizontal="center"/>
    </xf>
    <xf numFmtId="0" fontId="4" fillId="20" borderId="49" xfId="0" applyFont="1" applyFill="1" applyBorder="1"/>
    <xf numFmtId="0" fontId="3" fillId="0" borderId="18" xfId="0" applyFont="1" applyBorder="1"/>
    <xf numFmtId="0" fontId="4" fillId="0" borderId="46" xfId="0" applyFont="1" applyFill="1" applyBorder="1"/>
    <xf numFmtId="38" fontId="3" fillId="0" borderId="45" xfId="0" applyNumberFormat="1" applyFont="1" applyBorder="1"/>
    <xf numFmtId="0" fontId="4" fillId="0" borderId="40" xfId="0" applyFont="1" applyBorder="1"/>
    <xf numFmtId="0" fontId="4" fillId="20" borderId="3" xfId="0" applyFont="1" applyFill="1" applyBorder="1"/>
    <xf numFmtId="0" fontId="4" fillId="21" borderId="3" xfId="0" applyFont="1" applyFill="1" applyBorder="1"/>
    <xf numFmtId="0" fontId="4" fillId="21" borderId="39" xfId="0" applyFont="1" applyFill="1" applyBorder="1"/>
    <xf numFmtId="0" fontId="13" fillId="20" borderId="15" xfId="0" applyFont="1" applyFill="1" applyBorder="1"/>
    <xf numFmtId="164" fontId="5" fillId="2" borderId="19" xfId="2" applyNumberFormat="1" applyFont="1" applyFill="1" applyBorder="1" applyAlignment="1">
      <alignment horizontal="center" vertical="center" wrapText="1"/>
    </xf>
    <xf numFmtId="164" fontId="2" fillId="2" borderId="37" xfId="2" applyNumberFormat="1" applyFont="1" applyFill="1" applyBorder="1" applyAlignment="1">
      <alignment horizontal="center" wrapText="1"/>
    </xf>
    <xf numFmtId="0" fontId="2" fillId="2" borderId="51" xfId="0" applyFont="1" applyFill="1" applyBorder="1" applyAlignment="1">
      <alignment horizontal="center"/>
    </xf>
    <xf numFmtId="37" fontId="13" fillId="0" borderId="12" xfId="2" applyNumberFormat="1" applyFont="1" applyFill="1" applyBorder="1"/>
    <xf numFmtId="49" fontId="2" fillId="2" borderId="1" xfId="0" applyNumberFormat="1" applyFont="1" applyFill="1" applyBorder="1" applyAlignment="1"/>
    <xf numFmtId="164" fontId="5" fillId="2" borderId="1" xfId="2" applyNumberFormat="1" applyFont="1" applyFill="1" applyBorder="1" applyAlignment="1">
      <alignment horizontal="center" wrapText="1"/>
    </xf>
    <xf numFmtId="37" fontId="5" fillId="2" borderId="1" xfId="2" applyNumberFormat="1" applyFont="1" applyFill="1" applyBorder="1" applyAlignment="1">
      <alignment horizontal="center" wrapText="1"/>
    </xf>
    <xf numFmtId="38" fontId="4" fillId="0" borderId="40" xfId="2" applyNumberFormat="1" applyFont="1" applyBorder="1"/>
    <xf numFmtId="164" fontId="4" fillId="0" borderId="49" xfId="2" applyNumberFormat="1" applyFont="1" applyBorder="1"/>
    <xf numFmtId="164" fontId="4" fillId="0" borderId="40" xfId="2" applyNumberFormat="1" applyFont="1" applyBorder="1"/>
    <xf numFmtId="38" fontId="4" fillId="0" borderId="40" xfId="0" applyNumberFormat="1" applyFont="1" applyBorder="1"/>
    <xf numFmtId="38" fontId="4" fillId="0" borderId="54" xfId="0" applyNumberFormat="1" applyFont="1" applyBorder="1"/>
    <xf numFmtId="38" fontId="4" fillId="0" borderId="49" xfId="0" applyNumberFormat="1" applyFont="1" applyBorder="1"/>
    <xf numFmtId="0" fontId="13" fillId="0" borderId="55" xfId="0" applyFont="1" applyBorder="1"/>
    <xf numFmtId="164" fontId="4" fillId="20" borderId="40" xfId="2" applyNumberFormat="1" applyFont="1" applyFill="1" applyBorder="1"/>
    <xf numFmtId="0" fontId="3" fillId="20" borderId="40" xfId="0" applyFont="1" applyFill="1" applyBorder="1"/>
    <xf numFmtId="164" fontId="4" fillId="0" borderId="40" xfId="2" applyNumberFormat="1" applyFont="1" applyFill="1" applyBorder="1"/>
    <xf numFmtId="0" fontId="17" fillId="5" borderId="56" xfId="0" applyFont="1" applyFill="1" applyBorder="1"/>
    <xf numFmtId="0" fontId="17" fillId="5" borderId="6" xfId="0" applyFont="1" applyFill="1" applyBorder="1"/>
    <xf numFmtId="37" fontId="3" fillId="0" borderId="41" xfId="2" applyNumberFormat="1" applyFont="1" applyBorder="1"/>
    <xf numFmtId="0" fontId="4" fillId="0" borderId="3" xfId="0" applyFont="1" applyFill="1" applyBorder="1"/>
    <xf numFmtId="0" fontId="4" fillId="21" borderId="3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left" vertical="center"/>
    </xf>
    <xf numFmtId="0" fontId="3" fillId="0" borderId="49" xfId="0" applyFont="1" applyBorder="1"/>
    <xf numFmtId="0" fontId="13" fillId="20" borderId="28" xfId="0" applyFont="1" applyFill="1" applyBorder="1"/>
    <xf numFmtId="0" fontId="17" fillId="20" borderId="7" xfId="0" applyFont="1" applyFill="1" applyBorder="1"/>
    <xf numFmtId="38" fontId="17" fillId="0" borderId="4" xfId="0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7" fontId="3" fillId="0" borderId="17" xfId="2" applyNumberFormat="1" applyFont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0" fontId="3" fillId="21" borderId="3" xfId="0" applyFont="1" applyFill="1" applyBorder="1"/>
    <xf numFmtId="0" fontId="4" fillId="21" borderId="17" xfId="0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49" fontId="2" fillId="2" borderId="19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3" fillId="0" borderId="12" xfId="0" applyNumberFormat="1" applyFont="1" applyFill="1" applyBorder="1" applyAlignment="1"/>
    <xf numFmtId="49" fontId="3" fillId="0" borderId="12" xfId="0" applyNumberFormat="1" applyFont="1" applyBorder="1" applyAlignment="1"/>
    <xf numFmtId="49" fontId="3" fillId="0" borderId="46" xfId="0" applyNumberFormat="1" applyFont="1" applyFill="1" applyBorder="1" applyAlignment="1"/>
    <xf numFmtId="49" fontId="3" fillId="22" borderId="12" xfId="0" applyNumberFormat="1" applyFont="1" applyFill="1" applyBorder="1" applyAlignment="1"/>
    <xf numFmtId="0" fontId="3" fillId="0" borderId="3" xfId="0" applyFont="1" applyBorder="1" applyAlignment="1"/>
    <xf numFmtId="0" fontId="3" fillId="0" borderId="3" xfId="0" applyFont="1" applyFill="1" applyBorder="1" applyAlignment="1"/>
    <xf numFmtId="49" fontId="4" fillId="0" borderId="3" xfId="0" applyNumberFormat="1" applyFont="1" applyBorder="1" applyAlignment="1"/>
    <xf numFmtId="49" fontId="4" fillId="0" borderId="3" xfId="0" applyNumberFormat="1" applyFont="1" applyFill="1" applyBorder="1" applyAlignment="1"/>
    <xf numFmtId="49" fontId="4" fillId="0" borderId="12" xfId="0" applyNumberFormat="1" applyFont="1" applyFill="1" applyBorder="1" applyAlignment="1"/>
    <xf numFmtId="49" fontId="4" fillId="22" borderId="3" xfId="0" applyNumberFormat="1" applyFont="1" applyFill="1" applyBorder="1" applyAlignment="1"/>
    <xf numFmtId="49" fontId="4" fillId="0" borderId="3" xfId="0" applyNumberFormat="1" applyFont="1" applyBorder="1" applyAlignment="1">
      <alignment vertical="center"/>
    </xf>
    <xf numFmtId="49" fontId="4" fillId="22" borderId="3" xfId="0" applyNumberFormat="1" applyFont="1" applyFill="1" applyBorder="1" applyAlignment="1">
      <alignment vertical="center"/>
    </xf>
    <xf numFmtId="49" fontId="4" fillId="0" borderId="39" xfId="0" applyNumberFormat="1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49" fontId="4" fillId="0" borderId="12" xfId="0" applyNumberFormat="1" applyFont="1" applyBorder="1" applyAlignment="1"/>
    <xf numFmtId="49" fontId="4" fillId="22" borderId="12" xfId="0" applyNumberFormat="1" applyFont="1" applyFill="1" applyBorder="1" applyAlignment="1"/>
    <xf numFmtId="0" fontId="3" fillId="21" borderId="3" xfId="0" applyFont="1" applyFill="1" applyBorder="1" applyAlignment="1"/>
    <xf numFmtId="0" fontId="3" fillId="0" borderId="0" xfId="0" applyFont="1" applyAlignment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164" fontId="4" fillId="2" borderId="12" xfId="0" applyNumberFormat="1" applyFont="1" applyFill="1" applyBorder="1"/>
    <xf numFmtId="164" fontId="4" fillId="0" borderId="12" xfId="0" applyNumberFormat="1" applyFont="1" applyBorder="1"/>
    <xf numFmtId="164" fontId="4" fillId="3" borderId="12" xfId="0" applyNumberFormat="1" applyFont="1" applyFill="1" applyBorder="1"/>
    <xf numFmtId="49" fontId="25" fillId="0" borderId="2" xfId="0" applyNumberFormat="1" applyFont="1" applyBorder="1" applyAlignment="1">
      <alignment horizontal="center"/>
    </xf>
    <xf numFmtId="49" fontId="40" fillId="0" borderId="18" xfId="0" applyNumberFormat="1" applyFont="1" applyBorder="1" applyAlignment="1">
      <alignment horizontal="center"/>
    </xf>
    <xf numFmtId="49" fontId="25" fillId="0" borderId="3" xfId="0" applyNumberFormat="1" applyFont="1" applyBorder="1"/>
    <xf numFmtId="49" fontId="25" fillId="22" borderId="12" xfId="0" applyNumberFormat="1" applyFont="1" applyFill="1" applyBorder="1" applyAlignment="1">
      <alignment horizontal="center"/>
    </xf>
    <xf numFmtId="0" fontId="25" fillId="0" borderId="12" xfId="0" applyFont="1" applyBorder="1"/>
    <xf numFmtId="164" fontId="25" fillId="12" borderId="12" xfId="2" applyNumberFormat="1" applyFont="1" applyFill="1" applyBorder="1"/>
    <xf numFmtId="38" fontId="40" fillId="0" borderId="2" xfId="0" applyNumberFormat="1" applyFont="1" applyBorder="1"/>
    <xf numFmtId="38" fontId="25" fillId="0" borderId="3" xfId="0" applyNumberFormat="1" applyFont="1" applyBorder="1"/>
    <xf numFmtId="38" fontId="40" fillId="0" borderId="3" xfId="0" applyNumberFormat="1" applyFont="1" applyBorder="1"/>
    <xf numFmtId="0" fontId="25" fillId="21" borderId="4" xfId="0" applyFont="1" applyFill="1" applyBorder="1"/>
    <xf numFmtId="164" fontId="25" fillId="0" borderId="21" xfId="2" applyNumberFormat="1" applyFont="1" applyBorder="1"/>
    <xf numFmtId="0" fontId="40" fillId="0" borderId="0" xfId="0" applyFont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0" fontId="41" fillId="0" borderId="0" xfId="0" applyFont="1"/>
    <xf numFmtId="0" fontId="25" fillId="21" borderId="17" xfId="0" applyFont="1" applyFill="1" applyBorder="1"/>
    <xf numFmtId="49" fontId="4" fillId="0" borderId="18" xfId="0" quotePrefix="1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4" fontId="25" fillId="24" borderId="12" xfId="2" applyNumberFormat="1" applyFont="1" applyFill="1" applyBorder="1"/>
    <xf numFmtId="0" fontId="25" fillId="21" borderId="4" xfId="0" applyFont="1" applyFill="1" applyBorder="1" applyAlignment="1">
      <alignment horizontal="center"/>
    </xf>
    <xf numFmtId="49" fontId="40" fillId="22" borderId="12" xfId="0" applyNumberFormat="1" applyFont="1" applyFill="1" applyBorder="1" applyAlignment="1">
      <alignment horizontal="center"/>
    </xf>
    <xf numFmtId="14" fontId="1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21" borderId="4" xfId="0" applyFont="1" applyFill="1" applyBorder="1" applyAlignment="1">
      <alignment horizontal="left"/>
    </xf>
    <xf numFmtId="0" fontId="25" fillId="21" borderId="4" xfId="0" applyFont="1" applyFill="1" applyBorder="1" applyAlignment="1">
      <alignment horizontal="left"/>
    </xf>
    <xf numFmtId="0" fontId="2" fillId="21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43" fontId="2" fillId="2" borderId="1" xfId="2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5" fillId="21" borderId="4" xfId="0" applyFont="1" applyFill="1" applyBorder="1" applyAlignment="1">
      <alignment horizontal="left" vertical="center"/>
    </xf>
    <xf numFmtId="49" fontId="40" fillId="0" borderId="3" xfId="0" applyNumberFormat="1" applyFont="1" applyBorder="1"/>
    <xf numFmtId="0" fontId="25" fillId="0" borderId="3" xfId="0" applyFont="1" applyBorder="1" applyAlignment="1">
      <alignment horizontal="center"/>
    </xf>
    <xf numFmtId="49" fontId="13" fillId="2" borderId="19" xfId="0" applyNumberFormat="1" applyFont="1" applyFill="1" applyBorder="1" applyAlignment="1">
      <alignment horizontal="center" vertical="center" wrapText="1"/>
    </xf>
    <xf numFmtId="164" fontId="28" fillId="0" borderId="1" xfId="2" applyNumberFormat="1" applyFont="1" applyFill="1" applyBorder="1" applyAlignment="1"/>
    <xf numFmtId="0" fontId="42" fillId="0" borderId="0" xfId="0" applyFont="1"/>
    <xf numFmtId="38" fontId="25" fillId="2" borderId="3" xfId="0" applyNumberFormat="1" applyFont="1" applyFill="1" applyBorder="1"/>
    <xf numFmtId="38" fontId="25" fillId="0" borderId="3" xfId="0" applyNumberFormat="1" applyFont="1" applyFill="1" applyBorder="1"/>
    <xf numFmtId="164" fontId="43" fillId="12" borderId="12" xfId="2" applyNumberFormat="1" applyFont="1" applyFill="1" applyBorder="1"/>
    <xf numFmtId="38" fontId="40" fillId="3" borderId="3" xfId="0" applyNumberFormat="1" applyFont="1" applyFill="1" applyBorder="1"/>
    <xf numFmtId="38" fontId="0" fillId="3" borderId="0" xfId="0" applyNumberFormat="1" applyFill="1"/>
    <xf numFmtId="38" fontId="45" fillId="0" borderId="0" xfId="0" applyNumberFormat="1" applyFont="1"/>
    <xf numFmtId="49" fontId="4" fillId="2" borderId="18" xfId="0" quotePrefix="1" applyNumberFormat="1" applyFont="1" applyFill="1" applyBorder="1" applyAlignment="1">
      <alignment horizontal="center"/>
    </xf>
    <xf numFmtId="38" fontId="2" fillId="4" borderId="39" xfId="0" applyNumberFormat="1" applyFont="1" applyFill="1" applyBorder="1"/>
    <xf numFmtId="38" fontId="27" fillId="4" borderId="39" xfId="0" applyNumberFormat="1" applyFont="1" applyFill="1" applyBorder="1"/>
    <xf numFmtId="38" fontId="2" fillId="4" borderId="48" xfId="0" applyNumberFormat="1" applyFont="1" applyFill="1" applyBorder="1"/>
    <xf numFmtId="38" fontId="2" fillId="4" borderId="43" xfId="0" applyNumberFormat="1" applyFont="1" applyFill="1" applyBorder="1"/>
    <xf numFmtId="38" fontId="2" fillId="5" borderId="60" xfId="0" applyNumberFormat="1" applyFont="1" applyFill="1" applyBorder="1"/>
    <xf numFmtId="38" fontId="2" fillId="5" borderId="61" xfId="0" applyNumberFormat="1" applyFont="1" applyFill="1" applyBorder="1"/>
    <xf numFmtId="38" fontId="2" fillId="5" borderId="62" xfId="0" applyNumberFormat="1" applyFont="1" applyFill="1" applyBorder="1"/>
    <xf numFmtId="38" fontId="23" fillId="4" borderId="3" xfId="0" applyNumberFormat="1" applyFont="1" applyFill="1" applyBorder="1"/>
    <xf numFmtId="38" fontId="23" fillId="4" borderId="12" xfId="0" applyNumberFormat="1" applyFont="1" applyFill="1" applyBorder="1"/>
    <xf numFmtId="38" fontId="23" fillId="4" borderId="15" xfId="0" applyNumberFormat="1" applyFont="1" applyFill="1" applyBorder="1"/>
    <xf numFmtId="38" fontId="23" fillId="4" borderId="4" xfId="0" applyNumberFormat="1" applyFont="1" applyFill="1" applyBorder="1"/>
    <xf numFmtId="38" fontId="24" fillId="2" borderId="1" xfId="0" applyNumberFormat="1" applyFont="1" applyFill="1" applyBorder="1"/>
    <xf numFmtId="38" fontId="47" fillId="4" borderId="3" xfId="0" applyNumberFormat="1" applyFont="1" applyFill="1" applyBorder="1"/>
    <xf numFmtId="38" fontId="48" fillId="4" borderId="15" xfId="0" applyNumberFormat="1" applyFont="1" applyFill="1" applyBorder="1"/>
    <xf numFmtId="38" fontId="25" fillId="10" borderId="3" xfId="0" applyNumberFormat="1" applyFont="1" applyFill="1" applyBorder="1"/>
    <xf numFmtId="164" fontId="25" fillId="21" borderId="21" xfId="2" applyNumberFormat="1" applyFont="1" applyFill="1" applyBorder="1"/>
    <xf numFmtId="0" fontId="25" fillId="0" borderId="4" xfId="0" applyFont="1" applyBorder="1"/>
    <xf numFmtId="0" fontId="25" fillId="0" borderId="0" xfId="0" applyFont="1"/>
    <xf numFmtId="164" fontId="43" fillId="13" borderId="13" xfId="2" applyNumberFormat="1" applyFont="1" applyFill="1" applyBorder="1" applyAlignment="1">
      <alignment horizontal="right" vertical="center" wrapText="1"/>
    </xf>
    <xf numFmtId="164" fontId="0" fillId="0" borderId="0" xfId="2" applyNumberFormat="1" applyFont="1" applyAlignment="1"/>
    <xf numFmtId="164" fontId="49" fillId="5" borderId="13" xfId="2" applyNumberFormat="1" applyFont="1" applyFill="1" applyBorder="1" applyAlignment="1"/>
    <xf numFmtId="14" fontId="17" fillId="2" borderId="1" xfId="2" applyNumberFormat="1" applyFont="1" applyFill="1" applyBorder="1" applyAlignment="1"/>
    <xf numFmtId="164" fontId="17" fillId="2" borderId="1" xfId="2" applyNumberFormat="1" applyFont="1" applyFill="1" applyBorder="1" applyAlignment="1"/>
    <xf numFmtId="164" fontId="17" fillId="9" borderId="1" xfId="2" applyNumberFormat="1" applyFont="1" applyFill="1" applyBorder="1" applyAlignment="1">
      <alignment horizontal="center"/>
    </xf>
    <xf numFmtId="164" fontId="17" fillId="4" borderId="1" xfId="2" applyNumberFormat="1" applyFont="1" applyFill="1" applyBorder="1" applyAlignment="1">
      <alignment horizontal="center"/>
    </xf>
    <xf numFmtId="164" fontId="17" fillId="5" borderId="1" xfId="2" applyNumberFormat="1" applyFont="1" applyFill="1" applyBorder="1" applyAlignment="1"/>
    <xf numFmtId="164" fontId="50" fillId="0" borderId="1" xfId="2" applyNumberFormat="1" applyFont="1" applyBorder="1" applyAlignment="1"/>
    <xf numFmtId="164" fontId="50" fillId="0" borderId="1" xfId="2" applyNumberFormat="1" applyFont="1" applyFill="1" applyBorder="1" applyAlignment="1">
      <alignment horizontal="right"/>
    </xf>
    <xf numFmtId="164" fontId="50" fillId="0" borderId="1" xfId="2" applyNumberFormat="1" applyFont="1" applyFill="1" applyBorder="1" applyAlignment="1"/>
    <xf numFmtId="164" fontId="50" fillId="5" borderId="1" xfId="2" applyNumberFormat="1" applyFont="1" applyFill="1" applyBorder="1" applyAlignment="1">
      <alignment horizontal="right"/>
    </xf>
    <xf numFmtId="14" fontId="17" fillId="6" borderId="1" xfId="2" applyNumberFormat="1" applyFont="1" applyFill="1" applyBorder="1" applyAlignment="1"/>
    <xf numFmtId="164" fontId="17" fillId="6" borderId="1" xfId="2" applyNumberFormat="1" applyFont="1" applyFill="1" applyBorder="1" applyAlignment="1"/>
    <xf numFmtId="14" fontId="37" fillId="0" borderId="0" xfId="2" applyNumberFormat="1" applyFont="1" applyFill="1" applyBorder="1" applyAlignment="1"/>
    <xf numFmtId="164" fontId="37" fillId="0" borderId="0" xfId="2" applyNumberFormat="1" applyFont="1" applyFill="1" applyBorder="1" applyAlignment="1"/>
    <xf numFmtId="164" fontId="51" fillId="0" borderId="0" xfId="2" applyNumberFormat="1" applyFont="1" applyFill="1" applyBorder="1" applyAlignment="1">
      <alignment horizontal="right"/>
    </xf>
    <xf numFmtId="164" fontId="52" fillId="0" borderId="0" xfId="2" applyNumberFormat="1" applyFont="1" applyFill="1" applyBorder="1" applyAlignment="1"/>
    <xf numFmtId="164" fontId="45" fillId="0" borderId="0" xfId="2" applyNumberFormat="1" applyFont="1" applyFill="1" applyAlignment="1"/>
    <xf numFmtId="164" fontId="17" fillId="15" borderId="0" xfId="2" applyNumberFormat="1" applyFont="1" applyFill="1" applyBorder="1" applyAlignment="1"/>
    <xf numFmtId="164" fontId="17" fillId="0" borderId="0" xfId="2" applyNumberFormat="1" applyFont="1" applyFill="1" applyBorder="1" applyAlignment="1"/>
    <xf numFmtId="43" fontId="0" fillId="0" borderId="0" xfId="2" applyNumberFormat="1" applyFont="1" applyAlignment="1"/>
    <xf numFmtId="164" fontId="17" fillId="15" borderId="0" xfId="2" applyNumberFormat="1" applyFont="1" applyFill="1" applyBorder="1" applyAlignment="1">
      <alignment horizontal="center"/>
    </xf>
    <xf numFmtId="164" fontId="17" fillId="0" borderId="26" xfId="2" applyNumberFormat="1" applyFont="1" applyFill="1" applyBorder="1" applyAlignment="1">
      <alignment horizontal="center"/>
    </xf>
    <xf numFmtId="164" fontId="17" fillId="2" borderId="1" xfId="2" applyNumberFormat="1" applyFont="1" applyFill="1" applyBorder="1" applyAlignment="1">
      <alignment horizontal="left"/>
    </xf>
    <xf numFmtId="164" fontId="50" fillId="5" borderId="1" xfId="2" applyNumberFormat="1" applyFont="1" applyFill="1" applyBorder="1" applyAlignment="1"/>
    <xf numFmtId="164" fontId="53" fillId="0" borderId="1" xfId="2" applyNumberFormat="1" applyFont="1" applyBorder="1" applyAlignment="1"/>
    <xf numFmtId="164" fontId="0" fillId="0" borderId="0" xfId="2" applyNumberFormat="1" applyFont="1" applyFill="1" applyAlignment="1"/>
    <xf numFmtId="164" fontId="17" fillId="4" borderId="1" xfId="2" applyNumberFormat="1" applyFont="1" applyFill="1" applyBorder="1" applyAlignment="1"/>
    <xf numFmtId="14" fontId="0" fillId="0" borderId="0" xfId="2" applyNumberFormat="1" applyFont="1" applyAlignment="1"/>
    <xf numFmtId="164" fontId="0" fillId="5" borderId="0" xfId="2" applyNumberFormat="1" applyFont="1" applyFill="1" applyAlignment="1"/>
    <xf numFmtId="165" fontId="17" fillId="0" borderId="0" xfId="2" applyNumberFormat="1" applyFont="1" applyFill="1" applyBorder="1" applyAlignment="1">
      <alignment horizontal="right"/>
    </xf>
    <xf numFmtId="14" fontId="50" fillId="0" borderId="19" xfId="2" applyNumberFormat="1" applyFont="1" applyBorder="1" applyAlignment="1">
      <alignment horizontal="center" vertical="center"/>
    </xf>
    <xf numFmtId="14" fontId="50" fillId="0" borderId="19" xfId="2" applyNumberFormat="1" applyFont="1" applyFill="1" applyBorder="1" applyAlignment="1">
      <alignment horizontal="center" vertical="center"/>
    </xf>
    <xf numFmtId="164" fontId="43" fillId="0" borderId="13" xfId="2" applyNumberFormat="1" applyFont="1" applyFill="1" applyBorder="1" applyAlignment="1">
      <alignment horizontal="right" vertical="center" wrapText="1"/>
    </xf>
    <xf numFmtId="38" fontId="44" fillId="2" borderId="3" xfId="0" applyNumberFormat="1" applyFont="1" applyFill="1" applyBorder="1"/>
    <xf numFmtId="49" fontId="4" fillId="6" borderId="3" xfId="0" applyNumberFormat="1" applyFont="1" applyFill="1" applyBorder="1"/>
    <xf numFmtId="164" fontId="44" fillId="24" borderId="12" xfId="2" applyNumberFormat="1" applyFont="1" applyFill="1" applyBorder="1"/>
    <xf numFmtId="38" fontId="44" fillId="0" borderId="3" xfId="0" applyNumberFormat="1" applyFont="1" applyBorder="1"/>
    <xf numFmtId="164" fontId="43" fillId="13" borderId="13" xfId="2" applyNumberFormat="1" applyFont="1" applyFill="1" applyBorder="1" applyAlignment="1">
      <alignment horizontal="right" wrapText="1"/>
    </xf>
    <xf numFmtId="49" fontId="25" fillId="0" borderId="18" xfId="0" applyNumberFormat="1" applyFont="1" applyBorder="1" applyAlignment="1">
      <alignment horizontal="center"/>
    </xf>
    <xf numFmtId="49" fontId="25" fillId="22" borderId="3" xfId="0" applyNumberFormat="1" applyFont="1" applyFill="1" applyBorder="1" applyAlignment="1">
      <alignment horizontal="left" vertical="center"/>
    </xf>
    <xf numFmtId="0" fontId="25" fillId="0" borderId="3" xfId="0" applyFont="1" applyBorder="1"/>
    <xf numFmtId="164" fontId="25" fillId="12" borderId="3" xfId="2" applyNumberFormat="1" applyFont="1" applyFill="1" applyBorder="1" applyAlignment="1">
      <alignment horizontal="center"/>
    </xf>
    <xf numFmtId="38" fontId="25" fillId="0" borderId="15" xfId="0" applyNumberFormat="1" applyFont="1" applyBorder="1"/>
    <xf numFmtId="38" fontId="25" fillId="0" borderId="21" xfId="0" applyNumberFormat="1" applyFont="1" applyBorder="1"/>
    <xf numFmtId="38" fontId="25" fillId="2" borderId="45" xfId="0" applyNumberFormat="1" applyFont="1" applyFill="1" applyBorder="1"/>
    <xf numFmtId="49" fontId="5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38" fontId="2" fillId="2" borderId="13" xfId="0" applyNumberFormat="1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64" fontId="4" fillId="12" borderId="15" xfId="2" applyNumberFormat="1" applyFont="1" applyFill="1" applyBorder="1"/>
    <xf numFmtId="164" fontId="50" fillId="0" borderId="19" xfId="2" applyNumberFormat="1" applyFont="1" applyBorder="1" applyAlignment="1">
      <alignment horizontal="center" vertical="center"/>
    </xf>
    <xf numFmtId="38" fontId="25" fillId="3" borderId="12" xfId="0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49" fontId="25" fillId="0" borderId="3" xfId="0" applyNumberFormat="1" applyFont="1" applyFill="1" applyBorder="1"/>
    <xf numFmtId="38" fontId="2" fillId="2" borderId="7" xfId="0" applyNumberFormat="1" applyFont="1" applyFill="1" applyBorder="1"/>
    <xf numFmtId="38" fontId="2" fillId="2" borderId="16" xfId="0" applyNumberFormat="1" applyFont="1" applyFill="1" applyBorder="1"/>
    <xf numFmtId="38" fontId="2" fillId="2" borderId="6" xfId="0" applyNumberFormat="1" applyFont="1" applyFill="1" applyBorder="1"/>
    <xf numFmtId="38" fontId="27" fillId="2" borderId="6" xfId="0" applyNumberFormat="1" applyFont="1" applyFill="1" applyBorder="1"/>
    <xf numFmtId="38" fontId="37" fillId="2" borderId="4" xfId="0" applyNumberFormat="1" applyFont="1" applyFill="1" applyBorder="1"/>
    <xf numFmtId="38" fontId="40" fillId="0" borderId="18" xfId="0" applyNumberFormat="1" applyFont="1" applyBorder="1"/>
    <xf numFmtId="164" fontId="25" fillId="0" borderId="40" xfId="2" applyNumberFormat="1" applyFont="1" applyBorder="1"/>
    <xf numFmtId="38" fontId="4" fillId="2" borderId="39" xfId="0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49" fontId="46" fillId="0" borderId="3" xfId="1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38" fontId="4" fillId="2" borderId="1" xfId="0" applyNumberFormat="1" applyFont="1" applyFill="1" applyBorder="1"/>
    <xf numFmtId="0" fontId="1" fillId="0" borderId="0" xfId="1"/>
    <xf numFmtId="0" fontId="1" fillId="0" borderId="0" xfId="1"/>
    <xf numFmtId="38" fontId="17" fillId="2" borderId="4" xfId="0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0" fontId="1" fillId="0" borderId="0" xfId="1"/>
    <xf numFmtId="0" fontId="0" fillId="0" borderId="0" xfId="0" applyFill="1" applyAlignment="1">
      <alignment horizontal="left" vertical="center"/>
    </xf>
    <xf numFmtId="38" fontId="44" fillId="0" borderId="3" xfId="0" applyNumberFormat="1" applyFont="1" applyFill="1" applyBorder="1"/>
    <xf numFmtId="49" fontId="40" fillId="22" borderId="12" xfId="0" applyNumberFormat="1" applyFont="1" applyFill="1" applyBorder="1" applyAlignment="1">
      <alignment horizontal="center" vertical="center"/>
    </xf>
    <xf numFmtId="49" fontId="25" fillId="22" borderId="12" xfId="0" applyNumberFormat="1" applyFont="1" applyFill="1" applyBorder="1" applyAlignment="1">
      <alignment horizontal="center" vertical="center"/>
    </xf>
    <xf numFmtId="49" fontId="3" fillId="22" borderId="12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40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0" fillId="0" borderId="12" xfId="0" applyFont="1" applyBorder="1" applyAlignment="1">
      <alignment vertical="center"/>
    </xf>
    <xf numFmtId="49" fontId="3" fillId="2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49" fontId="3" fillId="22" borderId="17" xfId="0" applyNumberFormat="1" applyFont="1" applyFill="1" applyBorder="1" applyAlignment="1">
      <alignment horizontal="center" vertical="center"/>
    </xf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49" fontId="4" fillId="0" borderId="57" xfId="0" applyNumberFormat="1" applyFont="1" applyBorder="1" applyAlignment="1">
      <alignment horizontal="center"/>
    </xf>
    <xf numFmtId="49" fontId="4" fillId="0" borderId="38" xfId="0" quotePrefix="1" applyNumberFormat="1" applyFont="1" applyBorder="1" applyAlignment="1">
      <alignment horizontal="center"/>
    </xf>
    <xf numFmtId="49" fontId="4" fillId="0" borderId="38" xfId="0" applyNumberFormat="1" applyFont="1" applyBorder="1" applyAlignment="1">
      <alignment horizontal="left"/>
    </xf>
    <xf numFmtId="38" fontId="4" fillId="13" borderId="39" xfId="0" applyNumberFormat="1" applyFont="1" applyFill="1" applyBorder="1"/>
    <xf numFmtId="38" fontId="2" fillId="5" borderId="39" xfId="0" applyNumberFormat="1" applyFont="1" applyFill="1" applyBorder="1"/>
    <xf numFmtId="38" fontId="2" fillId="5" borderId="48" xfId="0" applyNumberFormat="1" applyFont="1" applyFill="1" applyBorder="1"/>
    <xf numFmtId="38" fontId="23" fillId="3" borderId="3" xfId="0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52" fillId="2" borderId="4" xfId="0" applyNumberFormat="1" applyFont="1" applyFill="1" applyBorder="1"/>
    <xf numFmtId="38" fontId="4" fillId="5" borderId="6" xfId="0" applyNumberFormat="1" applyFont="1" applyFill="1" applyBorder="1"/>
    <xf numFmtId="38" fontId="38" fillId="5" borderId="6" xfId="0" applyNumberFormat="1" applyFont="1" applyFill="1" applyBorder="1"/>
    <xf numFmtId="38" fontId="12" fillId="5" borderId="16" xfId="0" applyNumberFormat="1" applyFont="1" applyFill="1" applyBorder="1"/>
    <xf numFmtId="38" fontId="4" fillId="5" borderId="16" xfId="0" applyNumberFormat="1" applyFont="1" applyFill="1" applyBorder="1"/>
    <xf numFmtId="38" fontId="4" fillId="5" borderId="7" xfId="0" applyNumberFormat="1" applyFont="1" applyFill="1" applyBorder="1"/>
    <xf numFmtId="38" fontId="48" fillId="4" borderId="60" xfId="0" applyNumberFormat="1" applyFont="1" applyFill="1" applyBorder="1"/>
    <xf numFmtId="38" fontId="48" fillId="4" borderId="61" xfId="0" applyNumberFormat="1" applyFont="1" applyFill="1" applyBorder="1"/>
    <xf numFmtId="38" fontId="48" fillId="4" borderId="62" xfId="0" applyNumberFormat="1" applyFont="1" applyFill="1" applyBorder="1"/>
    <xf numFmtId="38" fontId="27" fillId="4" borderId="60" xfId="0" applyNumberFormat="1" applyFont="1" applyFill="1" applyBorder="1"/>
    <xf numFmtId="38" fontId="27" fillId="4" borderId="6" xfId="0" applyNumberFormat="1" applyFont="1" applyFill="1" applyBorder="1"/>
    <xf numFmtId="164" fontId="2" fillId="0" borderId="26" xfId="2" applyNumberFormat="1" applyFont="1" applyFill="1" applyBorder="1" applyAlignment="1">
      <alignment horizontal="center"/>
    </xf>
    <xf numFmtId="49" fontId="4" fillId="22" borderId="12" xfId="0" applyNumberFormat="1" applyFont="1" applyFill="1" applyBorder="1" applyAlignment="1">
      <alignment horizontal="center" vertical="center"/>
    </xf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40" fillId="0" borderId="2" xfId="0" applyNumberFormat="1" applyFont="1" applyFill="1" applyBorder="1"/>
    <xf numFmtId="38" fontId="40" fillId="0" borderId="3" xfId="0" applyNumberFormat="1" applyFont="1" applyFill="1" applyBorder="1"/>
    <xf numFmtId="0" fontId="40" fillId="0" borderId="0" xfId="0" applyFont="1" applyFill="1"/>
    <xf numFmtId="49" fontId="25" fillId="0" borderId="2" xfId="0" applyNumberFormat="1" applyFont="1" applyFill="1" applyBorder="1" applyAlignment="1">
      <alignment horizontal="center"/>
    </xf>
    <xf numFmtId="49" fontId="40" fillId="0" borderId="18" xfId="0" applyNumberFormat="1" applyFont="1" applyFill="1" applyBorder="1" applyAlignment="1">
      <alignment horizontal="center"/>
    </xf>
    <xf numFmtId="0" fontId="25" fillId="0" borderId="12" xfId="0" applyFont="1" applyFill="1" applyBorder="1"/>
    <xf numFmtId="0" fontId="25" fillId="0" borderId="12" xfId="0" applyFont="1" applyFill="1" applyBorder="1" applyAlignment="1">
      <alignment horizontal="center"/>
    </xf>
    <xf numFmtId="0" fontId="25" fillId="0" borderId="4" xfId="0" applyFont="1" applyFill="1" applyBorder="1"/>
    <xf numFmtId="49" fontId="21" fillId="0" borderId="18" xfId="0" applyNumberFormat="1" applyFont="1" applyBorder="1" applyAlignment="1">
      <alignment horizontal="center"/>
    </xf>
    <xf numFmtId="49" fontId="23" fillId="0" borderId="3" xfId="0" applyNumberFormat="1" applyFont="1" applyBorder="1"/>
    <xf numFmtId="164" fontId="23" fillId="24" borderId="12" xfId="2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48" fillId="4" borderId="1" xfId="0" applyNumberFormat="1" applyFont="1" applyFill="1" applyBorder="1"/>
    <xf numFmtId="38" fontId="2" fillId="2" borderId="13" xfId="0" applyNumberFormat="1" applyFont="1" applyFill="1" applyBorder="1" applyAlignment="1">
      <alignment horizontal="center" wrapText="1"/>
    </xf>
    <xf numFmtId="49" fontId="14" fillId="0" borderId="0" xfId="0" applyNumberFormat="1" applyFont="1" applyAlignment="1">
      <alignment horizontal="center"/>
    </xf>
    <xf numFmtId="38" fontId="4" fillId="3" borderId="15" xfId="0" applyNumberFormat="1" applyFont="1" applyFill="1" applyBorder="1"/>
    <xf numFmtId="0" fontId="4" fillId="21" borderId="40" xfId="0" applyFont="1" applyFill="1" applyBorder="1"/>
    <xf numFmtId="38" fontId="25" fillId="0" borderId="12" xfId="0" applyNumberFormat="1" applyFont="1" applyBorder="1"/>
    <xf numFmtId="49" fontId="4" fillId="25" borderId="2" xfId="0" applyNumberFormat="1" applyFont="1" applyFill="1" applyBorder="1" applyAlignment="1">
      <alignment horizontal="center"/>
    </xf>
    <xf numFmtId="49" fontId="4" fillId="25" borderId="18" xfId="0" applyNumberFormat="1" applyFont="1" applyFill="1" applyBorder="1" applyAlignment="1">
      <alignment horizontal="center"/>
    </xf>
    <xf numFmtId="49" fontId="1" fillId="25" borderId="3" xfId="1" applyNumberFormat="1" applyFill="1" applyBorder="1"/>
    <xf numFmtId="49" fontId="4" fillId="25" borderId="3" xfId="0" applyNumberFormat="1" applyFont="1" applyFill="1" applyBorder="1"/>
    <xf numFmtId="0" fontId="4" fillId="25" borderId="12" xfId="0" applyFont="1" applyFill="1" applyBorder="1"/>
    <xf numFmtId="0" fontId="4" fillId="25" borderId="12" xfId="0" applyFont="1" applyFill="1" applyBorder="1" applyAlignment="1">
      <alignment horizontal="center"/>
    </xf>
    <xf numFmtId="164" fontId="4" fillId="25" borderId="12" xfId="2" applyNumberFormat="1" applyFont="1" applyFill="1" applyBorder="1"/>
    <xf numFmtId="38" fontId="4" fillId="25" borderId="3" xfId="0" applyNumberFormat="1" applyFont="1" applyFill="1" applyBorder="1"/>
    <xf numFmtId="38" fontId="4" fillId="25" borderId="2" xfId="0" applyNumberFormat="1" applyFont="1" applyFill="1" applyBorder="1"/>
    <xf numFmtId="0" fontId="4" fillId="25" borderId="4" xfId="0" applyFont="1" applyFill="1" applyBorder="1"/>
    <xf numFmtId="38" fontId="4" fillId="25" borderId="21" xfId="2" applyNumberFormat="1" applyFont="1" applyFill="1" applyBorder="1"/>
    <xf numFmtId="0" fontId="4" fillId="25" borderId="0" xfId="0" applyFont="1" applyFill="1"/>
    <xf numFmtId="164" fontId="17" fillId="23" borderId="26" xfId="2" applyNumberFormat="1" applyFont="1" applyFill="1" applyBorder="1" applyAlignment="1">
      <alignment horizontal="center"/>
    </xf>
    <xf numFmtId="49" fontId="21" fillId="22" borderId="12" xfId="0" applyNumberFormat="1" applyFont="1" applyFill="1" applyBorder="1" applyAlignment="1">
      <alignment horizontal="center" vertical="center"/>
    </xf>
    <xf numFmtId="0" fontId="23" fillId="21" borderId="4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right"/>
    </xf>
    <xf numFmtId="0" fontId="3" fillId="0" borderId="29" xfId="0" applyFont="1" applyFill="1" applyBorder="1" applyAlignment="1">
      <alignment horizontal="right"/>
    </xf>
    <xf numFmtId="0" fontId="3" fillId="0" borderId="34" xfId="0" applyFont="1" applyFill="1" applyBorder="1" applyAlignment="1">
      <alignment horizontal="right"/>
    </xf>
    <xf numFmtId="0" fontId="3" fillId="0" borderId="32" xfId="0" applyFont="1" applyFill="1" applyBorder="1" applyAlignment="1">
      <alignment horizontal="right"/>
    </xf>
    <xf numFmtId="0" fontId="3" fillId="0" borderId="33" xfId="0" applyFont="1" applyFill="1" applyBorder="1" applyAlignment="1">
      <alignment horizontal="right"/>
    </xf>
    <xf numFmtId="164" fontId="49" fillId="0" borderId="0" xfId="2" applyNumberFormat="1" applyFont="1" applyAlignment="1">
      <alignment horizontal="center"/>
    </xf>
    <xf numFmtId="164" fontId="49" fillId="0" borderId="13" xfId="2" applyNumberFormat="1" applyFont="1" applyBorder="1" applyAlignment="1">
      <alignment horizontal="center"/>
    </xf>
    <xf numFmtId="164" fontId="49" fillId="0" borderId="24" xfId="2" applyNumberFormat="1" applyFont="1" applyBorder="1" applyAlignment="1">
      <alignment horizontal="center"/>
    </xf>
    <xf numFmtId="164" fontId="49" fillId="0" borderId="14" xfId="2" applyNumberFormat="1" applyFont="1" applyBorder="1" applyAlignment="1">
      <alignment horizontal="center"/>
    </xf>
    <xf numFmtId="14" fontId="13" fillId="0" borderId="19" xfId="2" applyNumberFormat="1" applyFont="1" applyBorder="1" applyAlignment="1">
      <alignment horizontal="center" vertical="center" wrapText="1"/>
    </xf>
    <xf numFmtId="14" fontId="13" fillId="0" borderId="23" xfId="2" applyNumberFormat="1" applyFont="1" applyBorder="1" applyAlignment="1">
      <alignment horizontal="center" vertical="center" wrapText="1"/>
    </xf>
    <xf numFmtId="164" fontId="17" fillId="4" borderId="13" xfId="2" applyNumberFormat="1" applyFont="1" applyFill="1" applyBorder="1" applyAlignment="1">
      <alignment horizontal="center"/>
    </xf>
    <xf numFmtId="164" fontId="17" fillId="4" borderId="24" xfId="2" applyNumberFormat="1" applyFont="1" applyFill="1" applyBorder="1" applyAlignment="1">
      <alignment horizontal="center"/>
    </xf>
    <xf numFmtId="164" fontId="17" fillId="4" borderId="14" xfId="2" applyNumberFormat="1" applyFont="1" applyFill="1" applyBorder="1" applyAlignment="1">
      <alignment horizontal="center"/>
    </xf>
    <xf numFmtId="164" fontId="17" fillId="0" borderId="24" xfId="2" applyNumberFormat="1" applyFont="1" applyFill="1" applyBorder="1" applyAlignment="1">
      <alignment horizontal="center"/>
    </xf>
    <xf numFmtId="164" fontId="17" fillId="15" borderId="0" xfId="2" applyNumberFormat="1" applyFont="1" applyFill="1" applyBorder="1" applyAlignment="1">
      <alignment horizontal="center"/>
    </xf>
    <xf numFmtId="164" fontId="18" fillId="0" borderId="26" xfId="2" applyNumberFormat="1" applyFont="1" applyFill="1" applyBorder="1" applyAlignment="1">
      <alignment horizontal="center"/>
    </xf>
    <xf numFmtId="164" fontId="49" fillId="12" borderId="13" xfId="2" applyNumberFormat="1" applyFont="1" applyFill="1" applyBorder="1" applyAlignment="1">
      <alignment horizontal="center"/>
    </xf>
    <xf numFmtId="164" fontId="49" fillId="12" borderId="24" xfId="2" applyNumberFormat="1" applyFont="1" applyFill="1" applyBorder="1" applyAlignment="1">
      <alignment horizontal="center"/>
    </xf>
    <xf numFmtId="164" fontId="49" fillId="12" borderId="14" xfId="2" applyNumberFormat="1" applyFont="1" applyFill="1" applyBorder="1" applyAlignment="1">
      <alignment horizontal="center"/>
    </xf>
    <xf numFmtId="164" fontId="49" fillId="7" borderId="24" xfId="2" applyNumberFormat="1" applyFont="1" applyFill="1" applyBorder="1" applyAlignment="1">
      <alignment horizontal="center"/>
    </xf>
    <xf numFmtId="164" fontId="49" fillId="7" borderId="14" xfId="2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5" fillId="2" borderId="19" xfId="0" applyNumberFormat="1" applyFont="1" applyFill="1" applyBorder="1" applyAlignment="1">
      <alignment horizontal="center" vertical="center" wrapText="1"/>
    </xf>
    <xf numFmtId="49" fontId="5" fillId="2" borderId="20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38" fontId="2" fillId="2" borderId="13" xfId="0" applyNumberFormat="1" applyFont="1" applyFill="1" applyBorder="1" applyAlignment="1">
      <alignment horizontal="center" wrapText="1"/>
    </xf>
    <xf numFmtId="38" fontId="2" fillId="2" borderId="14" xfId="0" applyNumberFormat="1" applyFont="1" applyFill="1" applyBorder="1" applyAlignment="1">
      <alignment horizontal="center" wrapText="1"/>
    </xf>
    <xf numFmtId="38" fontId="2" fillId="2" borderId="37" xfId="0" applyNumberFormat="1" applyFont="1" applyFill="1" applyBorder="1" applyAlignment="1">
      <alignment horizontal="center" wrapText="1"/>
    </xf>
    <xf numFmtId="38" fontId="2" fillId="2" borderId="25" xfId="0" applyNumberFormat="1" applyFont="1" applyFill="1" applyBorder="1" applyAlignment="1">
      <alignment horizontal="center" wrapText="1"/>
    </xf>
    <xf numFmtId="38" fontId="2" fillId="2" borderId="50" xfId="0" applyNumberFormat="1" applyFont="1" applyFill="1" applyBorder="1" applyAlignment="1">
      <alignment horizontal="center" wrapText="1"/>
    </xf>
    <xf numFmtId="0" fontId="13" fillId="0" borderId="52" xfId="0" applyFont="1" applyFill="1" applyBorder="1" applyAlignment="1">
      <alignment horizontal="center"/>
    </xf>
    <xf numFmtId="0" fontId="13" fillId="0" borderId="53" xfId="0" applyFont="1" applyFill="1" applyBorder="1" applyAlignment="1">
      <alignment horizontal="center"/>
    </xf>
    <xf numFmtId="0" fontId="13" fillId="0" borderId="46" xfId="0" applyFont="1" applyFill="1" applyBorder="1" applyAlignment="1">
      <alignment horizontal="center"/>
    </xf>
    <xf numFmtId="0" fontId="13" fillId="0" borderId="35" xfId="0" applyFont="1" applyFill="1" applyBorder="1" applyAlignment="1">
      <alignment horizontal="center"/>
    </xf>
    <xf numFmtId="0" fontId="13" fillId="0" borderId="36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7" fillId="17" borderId="35" xfId="0" applyFont="1" applyFill="1" applyBorder="1" applyAlignment="1">
      <alignment horizontal="center"/>
    </xf>
    <xf numFmtId="0" fontId="17" fillId="17" borderId="36" xfId="0" applyFont="1" applyFill="1" applyBorder="1" applyAlignment="1">
      <alignment horizontal="center"/>
    </xf>
    <xf numFmtId="0" fontId="17" fillId="17" borderId="18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17" fillId="5" borderId="35" xfId="0" applyFont="1" applyFill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5" borderId="18" xfId="0" applyFont="1" applyFill="1" applyBorder="1" applyAlignment="1">
      <alignment horizontal="center"/>
    </xf>
    <xf numFmtId="14" fontId="19" fillId="0" borderId="19" xfId="2" applyNumberFormat="1" applyFont="1" applyBorder="1" applyAlignment="1">
      <alignment horizontal="center" vertical="center"/>
    </xf>
    <xf numFmtId="14" fontId="19" fillId="0" borderId="23" xfId="2" applyNumberFormat="1" applyFont="1" applyBorder="1" applyAlignment="1">
      <alignment horizontal="center" vertical="center"/>
    </xf>
    <xf numFmtId="14" fontId="19" fillId="0" borderId="20" xfId="2" applyNumberFormat="1" applyFont="1" applyBorder="1" applyAlignment="1">
      <alignment horizontal="center" vertical="center"/>
    </xf>
    <xf numFmtId="14" fontId="2" fillId="7" borderId="13" xfId="2" applyNumberFormat="1" applyFont="1" applyFill="1" applyBorder="1" applyAlignment="1">
      <alignment horizontal="center" vertical="center" wrapText="1"/>
    </xf>
    <xf numFmtId="14" fontId="2" fillId="7" borderId="24" xfId="2" applyNumberFormat="1" applyFont="1" applyFill="1" applyBorder="1" applyAlignment="1">
      <alignment horizontal="center" vertical="center" wrapText="1"/>
    </xf>
    <xf numFmtId="14" fontId="2" fillId="7" borderId="14" xfId="2" applyNumberFormat="1" applyFont="1" applyFill="1" applyBorder="1" applyAlignment="1">
      <alignment horizontal="center" vertical="center" wrapText="1"/>
    </xf>
    <xf numFmtId="14" fontId="19" fillId="0" borderId="19" xfId="2" applyNumberFormat="1" applyFont="1" applyFill="1" applyBorder="1" applyAlignment="1">
      <alignment horizontal="center" vertical="center"/>
    </xf>
    <xf numFmtId="14" fontId="19" fillId="0" borderId="23" xfId="2" applyNumberFormat="1" applyFont="1" applyFill="1" applyBorder="1" applyAlignment="1">
      <alignment horizontal="center" vertical="center"/>
    </xf>
    <xf numFmtId="14" fontId="19" fillId="0" borderId="20" xfId="2" applyNumberFormat="1" applyFont="1" applyFill="1" applyBorder="1" applyAlignment="1">
      <alignment horizontal="center" vertical="center"/>
    </xf>
    <xf numFmtId="164" fontId="2" fillId="0" borderId="24" xfId="2" applyNumberFormat="1" applyFont="1" applyFill="1" applyBorder="1" applyAlignment="1">
      <alignment horizontal="center"/>
    </xf>
    <xf numFmtId="14" fontId="2" fillId="0" borderId="19" xfId="2" applyNumberFormat="1" applyFont="1" applyBorder="1" applyAlignment="1">
      <alignment horizontal="center" vertical="center" wrapText="1"/>
    </xf>
    <xf numFmtId="14" fontId="2" fillId="0" borderId="23" xfId="2" applyNumberFormat="1" applyFont="1" applyBorder="1" applyAlignment="1">
      <alignment horizontal="center" vertical="center" wrapText="1"/>
    </xf>
    <xf numFmtId="14" fontId="2" fillId="0" borderId="20" xfId="2" applyNumberFormat="1" applyFont="1" applyBorder="1" applyAlignment="1">
      <alignment horizontal="center" vertical="center" wrapText="1"/>
    </xf>
    <xf numFmtId="164" fontId="26" fillId="0" borderId="0" xfId="2" applyNumberFormat="1" applyFont="1" applyAlignment="1">
      <alignment horizontal="center"/>
    </xf>
    <xf numFmtId="164" fontId="26" fillId="0" borderId="13" xfId="2" applyNumberFormat="1" applyFont="1" applyBorder="1" applyAlignment="1">
      <alignment horizontal="center"/>
    </xf>
    <xf numFmtId="164" fontId="26" fillId="0" borderId="24" xfId="2" applyNumberFormat="1" applyFont="1" applyBorder="1" applyAlignment="1">
      <alignment horizontal="center"/>
    </xf>
    <xf numFmtId="164" fontId="26" fillId="0" borderId="14" xfId="2" applyNumberFormat="1" applyFont="1" applyBorder="1" applyAlignment="1">
      <alignment horizontal="center"/>
    </xf>
    <xf numFmtId="164" fontId="2" fillId="0" borderId="25" xfId="2" applyNumberFormat="1" applyFont="1" applyFill="1" applyBorder="1" applyAlignment="1">
      <alignment horizontal="center"/>
    </xf>
    <xf numFmtId="164" fontId="2" fillId="15" borderId="0" xfId="2" applyNumberFormat="1" applyFont="1" applyFill="1" applyBorder="1" applyAlignment="1">
      <alignment horizontal="center"/>
    </xf>
    <xf numFmtId="164" fontId="2" fillId="11" borderId="0" xfId="2" applyNumberFormat="1" applyFont="1" applyFill="1" applyBorder="1" applyAlignment="1">
      <alignment horizontal="center"/>
    </xf>
    <xf numFmtId="164" fontId="2" fillId="0" borderId="26" xfId="2" applyNumberFormat="1" applyFont="1" applyFill="1" applyBorder="1" applyAlignment="1">
      <alignment horizontal="center"/>
    </xf>
    <xf numFmtId="164" fontId="31" fillId="12" borderId="13" xfId="2" applyNumberFormat="1" applyFont="1" applyFill="1" applyBorder="1" applyAlignment="1">
      <alignment horizontal="center"/>
    </xf>
    <xf numFmtId="164" fontId="31" fillId="12" borderId="24" xfId="2" applyNumberFormat="1" applyFont="1" applyFill="1" applyBorder="1" applyAlignment="1">
      <alignment horizontal="center"/>
    </xf>
    <xf numFmtId="164" fontId="31" fillId="12" borderId="14" xfId="2" applyNumberFormat="1" applyFont="1" applyFill="1" applyBorder="1" applyAlignment="1">
      <alignment horizontal="center"/>
    </xf>
    <xf numFmtId="164" fontId="31" fillId="0" borderId="13" xfId="2" applyNumberFormat="1" applyFont="1" applyBorder="1" applyAlignment="1">
      <alignment horizontal="center"/>
    </xf>
    <xf numFmtId="164" fontId="31" fillId="0" borderId="24" xfId="2" applyNumberFormat="1" applyFont="1" applyBorder="1" applyAlignment="1">
      <alignment horizontal="center"/>
    </xf>
    <xf numFmtId="164" fontId="31" fillId="0" borderId="14" xfId="2" applyNumberFormat="1" applyFont="1" applyBorder="1" applyAlignment="1">
      <alignment horizontal="center"/>
    </xf>
    <xf numFmtId="164" fontId="2" fillId="4" borderId="13" xfId="2" applyNumberFormat="1" applyFont="1" applyFill="1" applyBorder="1" applyAlignment="1">
      <alignment horizontal="center"/>
    </xf>
    <xf numFmtId="164" fontId="2" fillId="4" borderId="24" xfId="2" applyNumberFormat="1" applyFont="1" applyFill="1" applyBorder="1" applyAlignment="1">
      <alignment horizontal="center"/>
    </xf>
    <xf numFmtId="164" fontId="2" fillId="4" borderId="14" xfId="2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5" fillId="0" borderId="0" xfId="0" applyFont="1" applyAlignment="1">
      <alignment horizontal="center"/>
    </xf>
    <xf numFmtId="49" fontId="12" fillId="2" borderId="19" xfId="0" applyNumberFormat="1" applyFont="1" applyFill="1" applyBorder="1" applyAlignment="1">
      <alignment horizontal="center" vertical="center" wrapText="1"/>
    </xf>
    <xf numFmtId="49" fontId="12" fillId="2" borderId="20" xfId="0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/>
    </xf>
    <xf numFmtId="49" fontId="38" fillId="0" borderId="0" xfId="0" applyNumberFormat="1" applyFont="1" applyAlignment="1">
      <alignment horizontal="center"/>
    </xf>
    <xf numFmtId="38" fontId="12" fillId="2" borderId="19" xfId="0" applyNumberFormat="1" applyFont="1" applyFill="1" applyBorder="1" applyAlignment="1">
      <alignment horizontal="center" wrapText="1"/>
    </xf>
    <xf numFmtId="38" fontId="12" fillId="2" borderId="20" xfId="0" applyNumberFormat="1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8" fillId="4" borderId="58" xfId="0" applyFont="1" applyFill="1" applyBorder="1" applyAlignment="1">
      <alignment horizontal="center"/>
    </xf>
    <xf numFmtId="0" fontId="48" fillId="4" borderId="26" xfId="0" applyFont="1" applyFill="1" applyBorder="1" applyAlignment="1">
      <alignment horizontal="center"/>
    </xf>
    <xf numFmtId="0" fontId="48" fillId="4" borderId="5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26" xfId="1" applyBorder="1" applyAlignment="1">
      <alignment horizontal="center"/>
    </xf>
    <xf numFmtId="0" fontId="2" fillId="5" borderId="58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59" xfId="0" applyFont="1" applyFill="1" applyBorder="1" applyAlignment="1">
      <alignment horizontal="center"/>
    </xf>
    <xf numFmtId="0" fontId="2" fillId="4" borderId="5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38" fontId="12" fillId="2" borderId="19" xfId="0" applyNumberFormat="1" applyFont="1" applyFill="1" applyBorder="1" applyAlignment="1">
      <alignment horizontal="center" vertical="center" wrapText="1"/>
    </xf>
    <xf numFmtId="38" fontId="12" fillId="2" borderId="20" xfId="0" applyNumberFormat="1" applyFont="1" applyFill="1" applyBorder="1" applyAlignment="1">
      <alignment horizontal="center" vertical="center" wrapText="1"/>
    </xf>
    <xf numFmtId="38" fontId="2" fillId="2" borderId="13" xfId="0" applyNumberFormat="1" applyFont="1" applyFill="1" applyBorder="1" applyAlignment="1">
      <alignment horizontal="center" vertical="center" wrapText="1"/>
    </xf>
    <xf numFmtId="38" fontId="2" fillId="2" borderId="14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externalLink" Target="externalLinks/externalLink8.xml"/><Relationship Id="rId50" Type="http://schemas.openxmlformats.org/officeDocument/2006/relationships/externalLink" Target="externalLinks/externalLink11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52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externalLink" Target="externalLinks/externalLink9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2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N&#258;M%202022\B&#7842;NG%20K&#202;%20K&#7870;T%20H&#192;NG%20&#272;&#195;%20XU&#7844;T%20XONG(%20T&#7914;%2001.01.2022%20&#272;&#7870;N%2031.01.202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N&#258;M%202022\B&#7842;NG%20K&#202;%20K&#7870;T%20H&#192;NG%20&#272;&#195;%20XU&#7844;T%20XONG%20(%20T&#7914;%2001.04.2022%20&#272;&#7870;N%2031.04.2022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(%20T&#7914;%2001.02.2022%20&#272;&#7870;N%2028.02.2022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(%20T&#7914;%2001.11.2021%20&#272;&#7870;N%2031.11.2021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(%20T&#7914;%2001.12.2021%20&#272;&#7870;N%2031.12.202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(%20T&#7914;%2001.03.2022%20&#272;&#7870;N%2031.03.202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N&#258;M%202022\B&#7842;NG%20K&#202;%20K&#7870;T%20H&#192;NG%20&#272;&#195;%20XU&#7844;T%20XONG%20(%20T&#7914;%2001.05.2022%20&#272;&#7870;N%2031.05.202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N&#258;M%202022\B&#7842;NG%20K&#202;%20K&#7870;T%20H&#192;NG%20&#272;&#195;%20XU&#7844;T%20XONG%20(%20T&#7914;%2026.05.2022%20&#272;&#7870;N%2025.06.202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N&#258;M%202022\B&#7842;NG%20K&#202;%20K&#7870;T%20H&#192;NG%20&#272;&#195;%20XU&#7844;T%20XONG%20(%20T&#7914;%2026.06.2022%20&#272;&#7870;N%2025.07.2022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N&#258;M%202022\B&#7842;NG%20K&#202;%20K&#7870;T%20H&#192;NG%20&#272;&#195;%20XU&#7844;T%20XONG%20T7%20(%20T&#7914;%2026.06.2022%20&#272;&#7870;N%2025.07.202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N&#258;M%202022\B&#7842;NG%20K&#202;%20K&#7870;T%20H&#192;NG%20&#272;&#195;%20XU&#7844;T%20XONG%20T8%20(%20T&#7914;%2026.07.2022%20&#272;&#7870;N%2025.08.2022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N&#258;M%202022\B&#7842;NG%20K&#202;%20K&#7870;T%20H&#192;NG%20&#272;&#195;%20XU&#7844;T%20XONG%20T9%20(T&#7914;%2026.08.22%20&#272;&#7870;N%2025.09.22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B&#7842;NG%20K&#7870;T%20TK%20&#272;&#195;%20XU&#7844;T%20XONG\B&#7842;NG%20K&#202;%20K&#7870;T%20H&#192;NG%20&#272;&#195;%20XU&#7844;T%20XONG%20N&#258;M%202022\B&#7842;NG%20K&#202;%20K&#7870;T%20H&#192;NG%20&#272;&#195;%20XU&#7844;T%20XONG%20T10%20(T&#7914;%2026.09.22%20&#272;&#7870;N%2025.10.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7C"/>
    </sheetNames>
    <sheetDataSet>
      <sheetData sheetId="0">
        <row r="14">
          <cell r="H14">
            <v>494040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9J"/>
      <sheetName val="6900"/>
      <sheetName val="0080"/>
      <sheetName val="0202"/>
      <sheetName val="612B"/>
      <sheetName val="1640"/>
      <sheetName val="095H"/>
      <sheetName val="122E"/>
      <sheetName val="612A"/>
      <sheetName val="612D"/>
      <sheetName val="3247"/>
      <sheetName val="572E"/>
      <sheetName val="3250"/>
      <sheetName val="6304"/>
      <sheetName val="6026"/>
      <sheetName val="4802"/>
      <sheetName val="886B"/>
      <sheetName val="095E"/>
      <sheetName val="0511D"/>
      <sheetName val="1358"/>
      <sheetName val="2197"/>
      <sheetName val="368B"/>
      <sheetName val="5901"/>
      <sheetName val="4693"/>
      <sheetName val="594D"/>
      <sheetName val="1689"/>
    </sheetNames>
    <sheetDataSet>
      <sheetData sheetId="0">
        <row r="14">
          <cell r="H14">
            <v>229020</v>
          </cell>
        </row>
      </sheetData>
      <sheetData sheetId="1">
        <row r="14">
          <cell r="H14">
            <v>268760</v>
          </cell>
        </row>
      </sheetData>
      <sheetData sheetId="2">
        <row r="14">
          <cell r="H14">
            <v>414820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8A"/>
      <sheetName val="1390"/>
      <sheetName val="121F"/>
    </sheetNames>
    <sheetDataSet>
      <sheetData sheetId="0">
        <row r="11">
          <cell r="H11">
            <v>430840</v>
          </cell>
        </row>
      </sheetData>
      <sheetData sheetId="1">
        <row r="16">
          <cell r="H16">
            <v>491760</v>
          </cell>
        </row>
      </sheetData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5300"/>
      <sheetName val="6400"/>
      <sheetName val="122F"/>
      <sheetName val="540A"/>
      <sheetName val="095I"/>
      <sheetName val="368A"/>
      <sheetName val="8745"/>
    </sheetNames>
    <sheetDataSet>
      <sheetData sheetId="0"/>
      <sheetData sheetId="1"/>
      <sheetData sheetId="2"/>
      <sheetData sheetId="3"/>
      <sheetData sheetId="4">
        <row r="16">
          <cell r="H16">
            <v>672680</v>
          </cell>
        </row>
      </sheetData>
      <sheetData sheetId="5">
        <row r="12">
          <cell r="H12">
            <v>416910</v>
          </cell>
        </row>
      </sheetData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86"/>
      <sheetName val="1375"/>
      <sheetName val="239E"/>
      <sheetName val="4460"/>
      <sheetName val="239F"/>
      <sheetName val="920B"/>
      <sheetName val="4595"/>
      <sheetName val="5142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H14">
            <v>354430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2G"/>
      <sheetName val="0300"/>
      <sheetName val="124G"/>
      <sheetName val="886A"/>
      <sheetName val="122C"/>
    </sheetNames>
    <sheetDataSet>
      <sheetData sheetId="0">
        <row r="14">
          <cell r="H14">
            <v>153750</v>
          </cell>
        </row>
      </sheetData>
      <sheetData sheetId="1"/>
      <sheetData sheetId="2"/>
      <sheetData sheetId="3">
        <row r="14">
          <cell r="H14">
            <v>177720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801"/>
      <sheetName val="9861"/>
      <sheetName val="605C"/>
      <sheetName val="127F"/>
      <sheetName val="394G"/>
      <sheetName val="7300"/>
      <sheetName val="6341"/>
      <sheetName val="8875"/>
      <sheetName val="511A"/>
      <sheetName val="594C"/>
      <sheetName val="511B"/>
      <sheetName val="9110"/>
      <sheetName val="6242"/>
      <sheetName val="636D"/>
      <sheetName val="6205"/>
      <sheetName val="594A"/>
      <sheetName val="511C"/>
      <sheetName val="8598"/>
      <sheetName val="528G"/>
      <sheetName val="528J"/>
      <sheetName val="528H"/>
      <sheetName val="127E"/>
      <sheetName val="4935"/>
    </sheetNames>
    <sheetDataSet>
      <sheetData sheetId="0">
        <row r="14">
          <cell r="H14">
            <v>208550</v>
          </cell>
        </row>
      </sheetData>
      <sheetData sheetId="1">
        <row r="14">
          <cell r="H14">
            <v>379880</v>
          </cell>
        </row>
      </sheetData>
      <sheetData sheetId="2">
        <row r="14">
          <cell r="H14">
            <v>698090</v>
          </cell>
        </row>
      </sheetData>
      <sheetData sheetId="3">
        <row r="14">
          <cell r="H14">
            <v>173990</v>
          </cell>
        </row>
      </sheetData>
      <sheetData sheetId="4">
        <row r="14">
          <cell r="H14">
            <v>235580</v>
          </cell>
        </row>
      </sheetData>
      <sheetData sheetId="5">
        <row r="14">
          <cell r="H14">
            <v>271360</v>
          </cell>
        </row>
      </sheetData>
      <sheetData sheetId="6">
        <row r="14">
          <cell r="H14">
            <v>27440</v>
          </cell>
        </row>
      </sheetData>
      <sheetData sheetId="7">
        <row r="14">
          <cell r="H14">
            <v>26080</v>
          </cell>
        </row>
      </sheetData>
      <sheetData sheetId="8">
        <row r="14">
          <cell r="H14">
            <v>288510</v>
          </cell>
        </row>
      </sheetData>
      <sheetData sheetId="9" refreshError="1"/>
      <sheetData sheetId="10">
        <row r="14">
          <cell r="H14">
            <v>265330</v>
          </cell>
        </row>
      </sheetData>
      <sheetData sheetId="11" refreshError="1"/>
      <sheetData sheetId="12" refreshError="1"/>
      <sheetData sheetId="13" refreshError="1"/>
      <sheetData sheetId="14">
        <row r="9">
          <cell r="H9">
            <v>275940</v>
          </cell>
        </row>
      </sheetData>
      <sheetData sheetId="15">
        <row r="10">
          <cell r="H10">
            <v>265490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0"/>
      <sheetName val="0400"/>
      <sheetName val="612l"/>
      <sheetName val="636B"/>
      <sheetName val="5700"/>
      <sheetName val="0334"/>
      <sheetName val="4500"/>
      <sheetName val="71640"/>
      <sheetName val="9467"/>
      <sheetName val="8905"/>
      <sheetName val="042I"/>
      <sheetName val="9509"/>
      <sheetName val="528F"/>
      <sheetName val="528C"/>
      <sheetName val="6340"/>
      <sheetName val="314C"/>
      <sheetName val="4720"/>
      <sheetName val="1383"/>
      <sheetName val="3248"/>
      <sheetName val="119E"/>
      <sheetName val="636C"/>
      <sheetName val="3146"/>
      <sheetName val="0323"/>
      <sheetName val="4796"/>
      <sheetName val="3979"/>
      <sheetName val="1440"/>
      <sheetName val="1854"/>
      <sheetName val="999C"/>
      <sheetName val="005E"/>
      <sheetName val="1230"/>
      <sheetName val="612C"/>
      <sheetName val="B2"/>
      <sheetName val="3880"/>
      <sheetName val="3467"/>
      <sheetName val="2662"/>
      <sheetName val="GREENTEC C6"/>
    </sheetNames>
    <sheetDataSet>
      <sheetData sheetId="0" refreshError="1"/>
      <sheetData sheetId="1">
        <row r="14">
          <cell r="H14">
            <v>451780</v>
          </cell>
        </row>
      </sheetData>
      <sheetData sheetId="2">
        <row r="9">
          <cell r="H9">
            <v>50240</v>
          </cell>
        </row>
      </sheetData>
      <sheetData sheetId="3">
        <row r="14">
          <cell r="H14">
            <v>264630</v>
          </cell>
        </row>
      </sheetData>
      <sheetData sheetId="4">
        <row r="14">
          <cell r="H14">
            <v>209850</v>
          </cell>
        </row>
      </sheetData>
      <sheetData sheetId="5">
        <row r="14">
          <cell r="H14">
            <v>354400</v>
          </cell>
        </row>
      </sheetData>
      <sheetData sheetId="6">
        <row r="14">
          <cell r="H14">
            <v>352460</v>
          </cell>
        </row>
      </sheetData>
      <sheetData sheetId="7">
        <row r="14">
          <cell r="H14">
            <v>271130</v>
          </cell>
        </row>
      </sheetData>
      <sheetData sheetId="8">
        <row r="14">
          <cell r="H14">
            <v>234690</v>
          </cell>
        </row>
      </sheetData>
      <sheetData sheetId="9">
        <row r="14">
          <cell r="H14">
            <v>209910</v>
          </cell>
        </row>
      </sheetData>
      <sheetData sheetId="10">
        <row r="14">
          <cell r="H14">
            <v>205470</v>
          </cell>
        </row>
      </sheetData>
      <sheetData sheetId="11">
        <row r="14">
          <cell r="H14">
            <v>207660</v>
          </cell>
        </row>
      </sheetData>
      <sheetData sheetId="12">
        <row r="14">
          <cell r="H14">
            <v>109770</v>
          </cell>
        </row>
      </sheetData>
      <sheetData sheetId="13">
        <row r="14">
          <cell r="H14">
            <v>600380</v>
          </cell>
        </row>
      </sheetData>
      <sheetData sheetId="14">
        <row r="14">
          <cell r="H14">
            <v>215780</v>
          </cell>
        </row>
      </sheetData>
      <sheetData sheetId="15">
        <row r="14">
          <cell r="H14">
            <v>520690</v>
          </cell>
        </row>
      </sheetData>
      <sheetData sheetId="16">
        <row r="14">
          <cell r="H14">
            <v>492340</v>
          </cell>
        </row>
      </sheetData>
      <sheetData sheetId="17">
        <row r="14">
          <cell r="H14">
            <v>352060</v>
          </cell>
        </row>
      </sheetData>
      <sheetData sheetId="18">
        <row r="14">
          <cell r="H14">
            <v>326300</v>
          </cell>
        </row>
      </sheetData>
      <sheetData sheetId="19">
        <row r="14">
          <cell r="H14">
            <v>321690</v>
          </cell>
        </row>
      </sheetData>
      <sheetData sheetId="20">
        <row r="14">
          <cell r="H14">
            <v>262020</v>
          </cell>
        </row>
      </sheetData>
      <sheetData sheetId="21">
        <row r="14">
          <cell r="H14">
            <v>268530</v>
          </cell>
        </row>
      </sheetData>
      <sheetData sheetId="22">
        <row r="14">
          <cell r="H14">
            <v>240830</v>
          </cell>
        </row>
      </sheetData>
      <sheetData sheetId="23">
        <row r="11">
          <cell r="H11">
            <v>319400</v>
          </cell>
        </row>
      </sheetData>
      <sheetData sheetId="24">
        <row r="8">
          <cell r="H8">
            <v>187650</v>
          </cell>
        </row>
      </sheetData>
      <sheetData sheetId="25">
        <row r="18">
          <cell r="H18">
            <v>741580</v>
          </cell>
        </row>
      </sheetData>
      <sheetData sheetId="26">
        <row r="14">
          <cell r="H14">
            <v>476910</v>
          </cell>
        </row>
      </sheetData>
      <sheetData sheetId="27">
        <row r="14">
          <cell r="H14">
            <v>227300</v>
          </cell>
        </row>
      </sheetData>
      <sheetData sheetId="28">
        <row r="10">
          <cell r="H10">
            <v>208010</v>
          </cell>
        </row>
      </sheetData>
      <sheetData sheetId="29">
        <row r="12">
          <cell r="H12">
            <v>217670</v>
          </cell>
        </row>
      </sheetData>
      <sheetData sheetId="30" refreshError="1"/>
      <sheetData sheetId="31" refreshError="1"/>
      <sheetData sheetId="32">
        <row r="14">
          <cell r="H14">
            <v>97530</v>
          </cell>
        </row>
      </sheetData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604"/>
      <sheetName val="6800"/>
      <sheetName val="7775"/>
      <sheetName val="GREENTECC8"/>
      <sheetName val="BILL ĐÃ XUẤT XONG"/>
    </sheetNames>
    <sheetDataSet>
      <sheetData sheetId="0">
        <row r="14">
          <cell r="H14">
            <v>491550</v>
          </cell>
        </row>
      </sheetData>
      <sheetData sheetId="1">
        <row r="12">
          <cell r="H12">
            <v>208910</v>
          </cell>
        </row>
      </sheetData>
      <sheetData sheetId="2">
        <row r="14">
          <cell r="H14">
            <v>178700</v>
          </cell>
        </row>
      </sheetData>
      <sheetData sheetId="3">
        <row r="14">
          <cell r="H14">
            <v>612200</v>
          </cell>
        </row>
      </sheetData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EA4"/>
      <sheetName val="ROSEC2"/>
      <sheetName val="8111"/>
      <sheetName val="084G"/>
      <sheetName val="GREENTECC4"/>
      <sheetName val="4596"/>
      <sheetName val="GREENTECE1"/>
      <sheetName val="084F"/>
      <sheetName val="095G"/>
      <sheetName val="370A"/>
      <sheetName val="4575"/>
      <sheetName val="4498"/>
      <sheetName val="4230"/>
      <sheetName val="636E"/>
      <sheetName val="3383"/>
      <sheetName val="0458"/>
      <sheetName val="092B"/>
      <sheetName val="4604"/>
      <sheetName val="6800"/>
      <sheetName val="7775"/>
      <sheetName val="GREENTECC8"/>
    </sheetNames>
    <sheetDataSet>
      <sheetData sheetId="0">
        <row r="14">
          <cell r="H14">
            <v>442470</v>
          </cell>
        </row>
      </sheetData>
      <sheetData sheetId="1">
        <row r="14">
          <cell r="H14">
            <v>597570</v>
          </cell>
        </row>
      </sheetData>
      <sheetData sheetId="2">
        <row r="10">
          <cell r="H10">
            <v>25400</v>
          </cell>
        </row>
      </sheetData>
      <sheetData sheetId="3"/>
      <sheetData sheetId="4">
        <row r="15">
          <cell r="H15">
            <v>471800</v>
          </cell>
        </row>
      </sheetData>
      <sheetData sheetId="5">
        <row r="14">
          <cell r="H14">
            <v>150830</v>
          </cell>
        </row>
      </sheetData>
      <sheetData sheetId="6">
        <row r="12">
          <cell r="H12">
            <v>343800</v>
          </cell>
        </row>
      </sheetData>
      <sheetData sheetId="7">
        <row r="8">
          <cell r="H8">
            <v>129140</v>
          </cell>
        </row>
      </sheetData>
      <sheetData sheetId="8"/>
      <sheetData sheetId="9">
        <row r="11">
          <cell r="H11">
            <v>256630</v>
          </cell>
        </row>
      </sheetData>
      <sheetData sheetId="10">
        <row r="11">
          <cell r="H11">
            <v>499060</v>
          </cell>
        </row>
      </sheetData>
      <sheetData sheetId="11">
        <row r="11">
          <cell r="H11">
            <v>428710</v>
          </cell>
        </row>
      </sheetData>
      <sheetData sheetId="12">
        <row r="19">
          <cell r="H19">
            <v>502620</v>
          </cell>
        </row>
      </sheetData>
      <sheetData sheetId="13">
        <row r="11">
          <cell r="H11">
            <v>256840</v>
          </cell>
        </row>
      </sheetData>
      <sheetData sheetId="14">
        <row r="14">
          <cell r="H14">
            <v>515520</v>
          </cell>
        </row>
      </sheetData>
      <sheetData sheetId="15">
        <row r="11">
          <cell r="H11">
            <v>168390</v>
          </cell>
        </row>
      </sheetData>
      <sheetData sheetId="16">
        <row r="16">
          <cell r="H16">
            <v>330070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TECA10"/>
      <sheetName val="GREENTECA1"/>
      <sheetName val="3739"/>
    </sheetNames>
    <sheetDataSet>
      <sheetData sheetId="0">
        <row r="14">
          <cell r="H14">
            <v>491030</v>
          </cell>
        </row>
      </sheetData>
      <sheetData sheetId="1">
        <row r="16">
          <cell r="H16">
            <v>284620</v>
          </cell>
        </row>
      </sheetData>
      <sheetData sheetId="2">
        <row r="16">
          <cell r="H16">
            <v>478120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110"/>
      <sheetName val="2060"/>
      <sheetName val="GREENTEC A8"/>
      <sheetName val="8302"/>
      <sheetName val="5370"/>
      <sheetName val="8600"/>
      <sheetName val="4652"/>
      <sheetName val="095F"/>
      <sheetName val="895A"/>
      <sheetName val="528I"/>
      <sheetName val="5819"/>
      <sheetName val="6480"/>
    </sheetNames>
    <sheetDataSet>
      <sheetData sheetId="0">
        <row r="14">
          <cell r="H14">
            <v>78120</v>
          </cell>
        </row>
      </sheetData>
      <sheetData sheetId="1">
        <row r="14">
          <cell r="H14">
            <v>218300</v>
          </cell>
        </row>
      </sheetData>
      <sheetData sheetId="2">
        <row r="14">
          <cell r="H14">
            <v>318390</v>
          </cell>
        </row>
      </sheetData>
      <sheetData sheetId="3">
        <row r="11">
          <cell r="H11">
            <v>274030</v>
          </cell>
        </row>
      </sheetData>
      <sheetData sheetId="4">
        <row r="11">
          <cell r="H11">
            <v>274610</v>
          </cell>
        </row>
      </sheetData>
      <sheetData sheetId="5">
        <row r="11">
          <cell r="H11">
            <v>214140</v>
          </cell>
        </row>
      </sheetData>
      <sheetData sheetId="6">
        <row r="9">
          <cell r="H9">
            <v>154460</v>
          </cell>
        </row>
      </sheetData>
      <sheetData sheetId="7">
        <row r="14">
          <cell r="H14">
            <v>127570</v>
          </cell>
        </row>
      </sheetData>
      <sheetData sheetId="8">
        <row r="14">
          <cell r="H14">
            <v>478890</v>
          </cell>
        </row>
      </sheetData>
      <sheetData sheetId="9">
        <row r="14">
          <cell r="H14">
            <v>164500</v>
          </cell>
        </row>
      </sheetData>
      <sheetData sheetId="10">
        <row r="11">
          <cell r="H11">
            <v>265330</v>
          </cell>
        </row>
      </sheetData>
      <sheetData sheetId="11">
        <row r="14">
          <cell r="H14">
            <v>152330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500"/>
      <sheetName val="1617"/>
    </sheetNames>
    <sheetDataSet>
      <sheetData sheetId="0">
        <row r="14">
          <cell r="H14">
            <v>245060</v>
          </cell>
        </row>
      </sheetData>
      <sheetData sheetId="1">
        <row r="11">
          <cell r="H11">
            <v>269490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O34"/>
  <sheetViews>
    <sheetView showGridLines="0" topLeftCell="A4" workbookViewId="0">
      <selection activeCell="I23" sqref="I23"/>
    </sheetView>
  </sheetViews>
  <sheetFormatPr defaultRowHeight="15" x14ac:dyDescent="0.25"/>
  <cols>
    <col min="1" max="1" width="14.7109375" style="1" customWidth="1"/>
    <col min="2" max="2" width="16.5703125" style="1" bestFit="1" customWidth="1"/>
    <col min="3" max="3" width="17" style="3" customWidth="1"/>
    <col min="4" max="4" width="20.5703125" style="3" bestFit="1" customWidth="1"/>
    <col min="5" max="5" width="16" style="3" customWidth="1"/>
    <col min="6" max="6" width="14.5703125" style="3" customWidth="1"/>
    <col min="7" max="7" width="20.140625" style="3" bestFit="1" customWidth="1"/>
    <col min="8" max="8" width="21.28515625" style="3" customWidth="1"/>
    <col min="9" max="9" width="20.140625" style="3" bestFit="1" customWidth="1"/>
    <col min="10" max="10" width="10.5703125" style="3" customWidth="1"/>
    <col min="11" max="11" width="10" style="3" customWidth="1"/>
    <col min="12" max="12" width="19" style="3" bestFit="1" customWidth="1"/>
    <col min="13" max="13" width="22.140625" style="3" customWidth="1"/>
    <col min="14" max="14" width="19" style="3" bestFit="1" customWidth="1"/>
    <col min="15" max="15" width="10" style="3" bestFit="1" customWidth="1"/>
    <col min="16" max="16384" width="9.140625" style="3"/>
  </cols>
  <sheetData>
    <row r="2" spans="1:15" ht="15.75" thickBot="1" x14ac:dyDescent="0.3">
      <c r="A2" s="1" t="s">
        <v>71</v>
      </c>
      <c r="G2" s="3" t="s">
        <v>72</v>
      </c>
      <c r="L2" s="3" t="s">
        <v>73</v>
      </c>
    </row>
    <row r="3" spans="1:15" ht="15.75" thickBot="1" x14ac:dyDescent="0.3">
      <c r="A3" s="118" t="s">
        <v>112</v>
      </c>
      <c r="B3" s="124"/>
      <c r="C3" s="89"/>
      <c r="D3" s="720" t="s">
        <v>113</v>
      </c>
      <c r="E3" s="721"/>
      <c r="F3" s="90"/>
      <c r="G3" s="91" t="s">
        <v>112</v>
      </c>
      <c r="H3" s="723" t="s">
        <v>119</v>
      </c>
      <c r="I3" s="724"/>
      <c r="J3" s="90"/>
      <c r="K3" s="90"/>
      <c r="L3" s="88" t="s">
        <v>112</v>
      </c>
      <c r="M3" s="720" t="s">
        <v>113</v>
      </c>
      <c r="N3" s="721"/>
    </row>
    <row r="4" spans="1:15" ht="15.75" thickBot="1" x14ac:dyDescent="0.3">
      <c r="A4" s="118" t="s">
        <v>114</v>
      </c>
      <c r="B4" s="125"/>
      <c r="C4" s="92"/>
      <c r="D4" s="93" t="s">
        <v>115</v>
      </c>
      <c r="E4" s="94" t="s">
        <v>116</v>
      </c>
      <c r="F4" s="90"/>
      <c r="G4" s="91" t="s">
        <v>114</v>
      </c>
      <c r="H4" s="93" t="s">
        <v>120</v>
      </c>
      <c r="I4" s="94" t="s">
        <v>121</v>
      </c>
      <c r="J4" s="90"/>
      <c r="K4" s="90"/>
      <c r="L4" s="95" t="s">
        <v>114</v>
      </c>
      <c r="M4" s="93" t="s">
        <v>120</v>
      </c>
      <c r="N4" s="94" t="s">
        <v>123</v>
      </c>
    </row>
    <row r="5" spans="1:15" ht="15.75" thickBot="1" x14ac:dyDescent="0.3">
      <c r="A5" s="118" t="s">
        <v>117</v>
      </c>
      <c r="B5" s="126"/>
      <c r="C5" s="96"/>
      <c r="D5" s="722" t="s">
        <v>128</v>
      </c>
      <c r="E5" s="721"/>
      <c r="F5" s="90"/>
      <c r="G5" s="91" t="s">
        <v>117</v>
      </c>
      <c r="H5" s="723" t="s">
        <v>122</v>
      </c>
      <c r="I5" s="724"/>
      <c r="J5" s="90"/>
      <c r="K5" s="90"/>
      <c r="L5" s="88" t="s">
        <v>117</v>
      </c>
      <c r="M5" s="722"/>
      <c r="N5" s="721"/>
    </row>
    <row r="6" spans="1:15" ht="15.75" thickBot="1" x14ac:dyDescent="0.3">
      <c r="A6" s="118" t="s">
        <v>118</v>
      </c>
      <c r="B6" s="118"/>
      <c r="C6" s="88"/>
      <c r="D6" s="721"/>
      <c r="E6" s="721"/>
      <c r="F6" s="90"/>
      <c r="G6" s="91" t="s">
        <v>118</v>
      </c>
      <c r="H6" s="723" t="s">
        <v>124</v>
      </c>
      <c r="I6" s="724"/>
      <c r="J6" s="90"/>
      <c r="K6" s="90"/>
      <c r="L6" s="88" t="s">
        <v>118</v>
      </c>
      <c r="M6" s="721"/>
      <c r="N6" s="721"/>
    </row>
    <row r="8" spans="1:15" x14ac:dyDescent="0.25">
      <c r="D8" s="98"/>
      <c r="E8" s="98"/>
      <c r="F8" s="98"/>
    </row>
    <row r="9" spans="1:15" x14ac:dyDescent="0.25">
      <c r="B9" s="127"/>
      <c r="C9" s="110"/>
      <c r="D9" s="3" t="s">
        <v>137</v>
      </c>
      <c r="H9" s="110"/>
      <c r="I9" s="3" t="s">
        <v>137</v>
      </c>
      <c r="L9" s="97"/>
      <c r="M9" s="110"/>
      <c r="N9" s="90" t="s">
        <v>137</v>
      </c>
    </row>
    <row r="10" spans="1:15" ht="25.5" x14ac:dyDescent="0.35">
      <c r="A10" s="119" t="s">
        <v>71</v>
      </c>
      <c r="B10" s="128"/>
      <c r="C10" s="111"/>
      <c r="D10" s="3" t="s">
        <v>146</v>
      </c>
      <c r="G10" s="112" t="s">
        <v>72</v>
      </c>
      <c r="H10" s="111"/>
      <c r="I10" s="3" t="s">
        <v>146</v>
      </c>
      <c r="L10" s="112" t="s">
        <v>73</v>
      </c>
      <c r="M10" s="111"/>
      <c r="N10" s="3" t="s">
        <v>146</v>
      </c>
    </row>
    <row r="11" spans="1:15" x14ac:dyDescent="0.25">
      <c r="A11" s="120" t="s">
        <v>49</v>
      </c>
      <c r="B11" s="120" t="s">
        <v>70</v>
      </c>
      <c r="C11" s="100"/>
      <c r="D11" s="100" t="s">
        <v>125</v>
      </c>
      <c r="E11" s="100" t="s">
        <v>126</v>
      </c>
      <c r="G11" s="100" t="s">
        <v>49</v>
      </c>
      <c r="H11" s="100" t="s">
        <v>70</v>
      </c>
      <c r="I11" s="100" t="s">
        <v>125</v>
      </c>
      <c r="J11" s="100" t="s">
        <v>127</v>
      </c>
      <c r="K11" s="103"/>
      <c r="L11" s="100" t="s">
        <v>49</v>
      </c>
      <c r="M11" s="100" t="s">
        <v>70</v>
      </c>
      <c r="N11" s="100" t="s">
        <v>125</v>
      </c>
      <c r="O11" s="100" t="s">
        <v>127</v>
      </c>
    </row>
    <row r="12" spans="1:15" x14ac:dyDescent="0.25">
      <c r="A12" s="121" t="s">
        <v>135</v>
      </c>
      <c r="B12" s="120"/>
      <c r="C12" s="100"/>
      <c r="D12" s="109" t="s">
        <v>136</v>
      </c>
      <c r="E12" s="102">
        <v>44138</v>
      </c>
      <c r="G12" s="107" t="s">
        <v>145</v>
      </c>
      <c r="H12" s="107" t="s">
        <v>142</v>
      </c>
      <c r="I12" s="109" t="s">
        <v>175</v>
      </c>
      <c r="J12" s="102">
        <v>44138</v>
      </c>
      <c r="K12" s="103"/>
      <c r="L12" s="107" t="s">
        <v>149</v>
      </c>
      <c r="M12" s="111" t="s">
        <v>143</v>
      </c>
      <c r="N12" s="109" t="s">
        <v>140</v>
      </c>
      <c r="O12" s="102">
        <v>44138</v>
      </c>
    </row>
    <row r="13" spans="1:15" x14ac:dyDescent="0.25">
      <c r="A13" s="121" t="s">
        <v>147</v>
      </c>
      <c r="B13" s="120"/>
      <c r="C13" s="100"/>
      <c r="D13" s="109" t="s">
        <v>139</v>
      </c>
      <c r="E13" s="102">
        <v>44138</v>
      </c>
      <c r="G13" s="107" t="s">
        <v>154</v>
      </c>
      <c r="H13" s="107" t="s">
        <v>162</v>
      </c>
      <c r="I13" s="109" t="s">
        <v>164</v>
      </c>
      <c r="J13" s="102">
        <v>44138</v>
      </c>
      <c r="L13" s="107" t="s">
        <v>150</v>
      </c>
      <c r="M13" s="107" t="s">
        <v>161</v>
      </c>
      <c r="N13" s="107" t="s">
        <v>141</v>
      </c>
      <c r="O13" s="102">
        <v>44138</v>
      </c>
    </row>
    <row r="14" spans="1:15" x14ac:dyDescent="0.25">
      <c r="A14" s="121" t="s">
        <v>148</v>
      </c>
      <c r="B14" s="120"/>
      <c r="C14" s="100"/>
      <c r="D14" s="109" t="s">
        <v>144</v>
      </c>
      <c r="E14" s="102">
        <v>44138</v>
      </c>
      <c r="G14" s="107" t="s">
        <v>155</v>
      </c>
      <c r="H14" s="100"/>
      <c r="I14" s="107" t="s">
        <v>160</v>
      </c>
      <c r="J14" s="102">
        <v>44142</v>
      </c>
      <c r="L14" s="107" t="s">
        <v>151</v>
      </c>
      <c r="M14" s="115"/>
      <c r="N14" s="107" t="s">
        <v>157</v>
      </c>
      <c r="O14" s="102"/>
    </row>
    <row r="15" spans="1:15" x14ac:dyDescent="0.25">
      <c r="A15" s="121" t="s">
        <v>153</v>
      </c>
      <c r="B15" s="120"/>
      <c r="C15" s="97"/>
      <c r="D15" s="110" t="s">
        <v>156</v>
      </c>
      <c r="E15" s="102"/>
      <c r="G15" s="107" t="s">
        <v>173</v>
      </c>
      <c r="H15" s="107" t="s">
        <v>168</v>
      </c>
      <c r="I15" s="107" t="s">
        <v>165</v>
      </c>
      <c r="J15" s="102">
        <v>44146</v>
      </c>
      <c r="L15" s="107" t="s">
        <v>152</v>
      </c>
      <c r="M15" s="115"/>
      <c r="N15" s="109" t="s">
        <v>157</v>
      </c>
      <c r="O15" s="102"/>
    </row>
    <row r="16" spans="1:15" x14ac:dyDescent="0.25">
      <c r="A16" s="121" t="s">
        <v>172</v>
      </c>
      <c r="B16" s="121" t="s">
        <v>158</v>
      </c>
      <c r="C16" s="107"/>
      <c r="D16" s="109" t="s">
        <v>159</v>
      </c>
      <c r="E16" s="102">
        <v>44141</v>
      </c>
      <c r="G16" s="107" t="s">
        <v>177</v>
      </c>
      <c r="H16" s="100" t="s">
        <v>169</v>
      </c>
      <c r="I16" s="130" t="s">
        <v>174</v>
      </c>
      <c r="J16" s="102"/>
      <c r="L16" s="101"/>
      <c r="M16" s="90" t="s">
        <v>170</v>
      </c>
      <c r="N16" s="101"/>
      <c r="O16" s="102"/>
    </row>
    <row r="17" spans="1:15" x14ac:dyDescent="0.25">
      <c r="A17" s="121" t="s">
        <v>178</v>
      </c>
      <c r="B17" s="120" t="s">
        <v>179</v>
      </c>
      <c r="C17" s="100"/>
      <c r="D17" s="109" t="s">
        <v>166</v>
      </c>
      <c r="E17" s="102">
        <v>44145</v>
      </c>
      <c r="G17" s="100"/>
      <c r="H17" s="100" t="s">
        <v>180</v>
      </c>
      <c r="I17" s="131" t="s">
        <v>176</v>
      </c>
      <c r="J17" s="102"/>
      <c r="L17" s="101"/>
      <c r="M17" s="101"/>
      <c r="N17" s="101"/>
      <c r="O17" s="102"/>
    </row>
    <row r="18" spans="1:15" x14ac:dyDescent="0.25">
      <c r="A18" s="121" t="s">
        <v>182</v>
      </c>
      <c r="B18" s="120"/>
      <c r="C18" s="100"/>
      <c r="D18" s="110" t="s">
        <v>171</v>
      </c>
      <c r="E18" s="102"/>
      <c r="G18" s="100"/>
      <c r="H18" s="101"/>
      <c r="I18" s="110" t="s">
        <v>57</v>
      </c>
      <c r="J18" s="102"/>
      <c r="L18" s="101"/>
      <c r="M18" s="101"/>
      <c r="N18" s="101"/>
      <c r="O18" s="102"/>
    </row>
    <row r="19" spans="1:15" ht="15.75" x14ac:dyDescent="0.25">
      <c r="A19" s="122"/>
      <c r="B19" s="123"/>
      <c r="C19" s="101"/>
      <c r="D19" s="109" t="s">
        <v>181</v>
      </c>
      <c r="E19" s="102"/>
      <c r="G19" s="100"/>
      <c r="H19" s="101"/>
      <c r="I19" s="113"/>
      <c r="J19" s="102"/>
      <c r="L19" s="101"/>
      <c r="M19" s="101"/>
      <c r="N19" s="101"/>
      <c r="O19" s="102"/>
    </row>
    <row r="20" spans="1:15" ht="15.75" x14ac:dyDescent="0.25">
      <c r="A20" s="122"/>
      <c r="B20" s="123"/>
      <c r="C20" s="101"/>
      <c r="D20" s="100"/>
      <c r="E20" s="102"/>
      <c r="G20" s="100"/>
      <c r="H20" s="101"/>
      <c r="I20" s="113"/>
      <c r="J20" s="102"/>
      <c r="L20" s="101"/>
      <c r="N20" s="100"/>
      <c r="O20" s="102"/>
    </row>
    <row r="21" spans="1:15" x14ac:dyDescent="0.25">
      <c r="A21" s="120"/>
      <c r="B21" s="123"/>
      <c r="C21" s="117"/>
      <c r="E21" s="102"/>
      <c r="G21" s="101"/>
      <c r="H21" s="101"/>
      <c r="I21" s="113"/>
      <c r="J21" s="102"/>
      <c r="L21" s="101"/>
      <c r="M21" s="101"/>
      <c r="N21" s="100"/>
      <c r="O21" s="102"/>
    </row>
    <row r="22" spans="1:15" x14ac:dyDescent="0.25">
      <c r="A22" s="123"/>
      <c r="B22" s="120"/>
      <c r="C22" s="100"/>
      <c r="D22" s="101"/>
      <c r="E22" s="102"/>
      <c r="G22" s="101"/>
      <c r="H22" s="101"/>
      <c r="I22" s="114"/>
      <c r="J22" s="102"/>
      <c r="L22" s="101"/>
      <c r="M22" s="101"/>
      <c r="N22" s="100"/>
      <c r="O22" s="102"/>
    </row>
    <row r="23" spans="1:15" x14ac:dyDescent="0.25">
      <c r="A23" s="123"/>
      <c r="B23" s="123"/>
      <c r="C23" s="101"/>
      <c r="D23" s="101"/>
      <c r="E23" s="102"/>
      <c r="G23" s="101"/>
      <c r="H23" s="101"/>
      <c r="I23" s="101"/>
      <c r="J23" s="102"/>
      <c r="L23" s="101"/>
      <c r="M23" s="101"/>
      <c r="N23" s="100"/>
      <c r="O23" s="102"/>
    </row>
    <row r="24" spans="1:15" x14ac:dyDescent="0.25">
      <c r="A24" s="123"/>
      <c r="B24" s="123"/>
      <c r="C24" s="101"/>
      <c r="D24" s="101"/>
      <c r="E24" s="102"/>
      <c r="G24" s="101"/>
      <c r="H24" s="101"/>
      <c r="I24" s="101"/>
      <c r="J24" s="102"/>
      <c r="L24" s="101"/>
      <c r="M24" s="101"/>
      <c r="N24" s="100"/>
      <c r="O24" s="102"/>
    </row>
    <row r="25" spans="1:15" x14ac:dyDescent="0.25">
      <c r="A25" s="123"/>
      <c r="B25" s="123"/>
      <c r="C25" s="101"/>
      <c r="D25" s="101"/>
      <c r="E25" s="102"/>
      <c r="G25" s="101"/>
      <c r="H25" s="101"/>
      <c r="I25" s="101"/>
      <c r="J25" s="102"/>
      <c r="L25" s="101"/>
      <c r="M25" s="101"/>
      <c r="N25" s="100"/>
      <c r="O25" s="102"/>
    </row>
    <row r="26" spans="1:15" x14ac:dyDescent="0.25">
      <c r="A26" s="123"/>
      <c r="B26" s="123"/>
      <c r="C26" s="101"/>
      <c r="D26" s="101"/>
      <c r="E26" s="102"/>
      <c r="G26" s="101"/>
      <c r="H26" s="101"/>
      <c r="I26" s="101"/>
      <c r="J26" s="102"/>
      <c r="L26" s="101"/>
      <c r="M26" s="101"/>
      <c r="N26" s="101"/>
      <c r="O26" s="102"/>
    </row>
    <row r="27" spans="1:15" x14ac:dyDescent="0.25">
      <c r="A27" s="123"/>
      <c r="B27" s="123"/>
      <c r="C27" s="101"/>
      <c r="D27" s="101"/>
      <c r="E27" s="102"/>
      <c r="G27" s="101"/>
      <c r="H27" s="101"/>
      <c r="I27" s="101"/>
      <c r="J27" s="102"/>
      <c r="L27" s="101"/>
      <c r="M27" s="101"/>
      <c r="N27" s="101"/>
      <c r="O27" s="102"/>
    </row>
    <row r="28" spans="1:15" x14ac:dyDescent="0.25">
      <c r="A28" s="123"/>
      <c r="B28" s="123"/>
      <c r="C28" s="101"/>
      <c r="D28" s="101"/>
      <c r="E28" s="102"/>
      <c r="G28" s="101"/>
      <c r="H28" s="101"/>
      <c r="I28" s="101"/>
      <c r="J28" s="102"/>
      <c r="L28" s="101"/>
      <c r="M28" s="101"/>
      <c r="N28" s="101"/>
      <c r="O28" s="102"/>
    </row>
    <row r="29" spans="1:15" x14ac:dyDescent="0.25">
      <c r="A29" s="123"/>
      <c r="B29" s="123"/>
      <c r="C29" s="101"/>
      <c r="D29" s="101"/>
      <c r="E29" s="102"/>
      <c r="G29" s="101"/>
      <c r="H29" s="101"/>
      <c r="I29" s="101"/>
      <c r="J29" s="102"/>
      <c r="L29" s="101"/>
      <c r="M29" s="101"/>
      <c r="N29" s="101"/>
      <c r="O29" s="102"/>
    </row>
    <row r="30" spans="1:15" x14ac:dyDescent="0.25">
      <c r="G30" s="101"/>
      <c r="H30" s="101"/>
      <c r="I30" s="101"/>
      <c r="J30" s="102"/>
      <c r="L30" s="101"/>
      <c r="M30" s="101"/>
      <c r="N30" s="101"/>
      <c r="O30" s="101"/>
    </row>
    <row r="34" spans="2:3" x14ac:dyDescent="0.25">
      <c r="B34" s="129"/>
      <c r="C34" s="99"/>
    </row>
  </sheetData>
  <mergeCells count="9">
    <mergeCell ref="M3:N3"/>
    <mergeCell ref="M5:N5"/>
    <mergeCell ref="M6:N6"/>
    <mergeCell ref="D3:E3"/>
    <mergeCell ref="D5:E5"/>
    <mergeCell ref="D6:E6"/>
    <mergeCell ref="H3:I3"/>
    <mergeCell ref="H5:I5"/>
    <mergeCell ref="H6:I6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F0"/>
    <pageSetUpPr fitToPage="1"/>
  </sheetPr>
  <dimension ref="A1:O68"/>
  <sheetViews>
    <sheetView showGridLines="0" topLeftCell="A4" zoomScale="98" zoomScaleNormal="98" workbookViewId="0">
      <pane xSplit="3" ySplit="2" topLeftCell="E39" activePane="bottomRight" state="frozen"/>
      <selection activeCell="J19" sqref="J19"/>
      <selection pane="topRight" activeCell="J19" sqref="J19"/>
      <selection pane="bottomLeft" activeCell="J19" sqref="J19"/>
      <selection pane="bottomRight" activeCell="L18" sqref="L18"/>
    </sheetView>
  </sheetViews>
  <sheetFormatPr defaultRowHeight="15.75" x14ac:dyDescent="0.25"/>
  <cols>
    <col min="1" max="1" width="4.7109375" style="29" customWidth="1"/>
    <col min="2" max="2" width="13.140625" style="29" customWidth="1"/>
    <col min="3" max="3" width="38.42578125" style="15" bestFit="1" customWidth="1"/>
    <col min="4" max="4" width="7.28515625" style="29" customWidth="1"/>
    <col min="5" max="5" width="16" style="206" customWidth="1"/>
    <col min="6" max="6" width="6.28515625" style="206" customWidth="1"/>
    <col min="7" max="7" width="18.28515625" style="34" bestFit="1" customWidth="1"/>
    <col min="8" max="8" width="16.42578125" style="116" customWidth="1"/>
    <col min="9" max="9" width="9" style="19" customWidth="1"/>
    <col min="10" max="10" width="10.28515625" style="19" customWidth="1"/>
    <col min="11" max="11" width="9" style="19" customWidth="1"/>
    <col min="12" max="12" width="14" style="19" customWidth="1"/>
    <col min="13" max="13" width="16.140625" style="19" customWidth="1"/>
    <col min="14" max="14" width="16.42578125" customWidth="1"/>
    <col min="15" max="15" width="18.28515625" customWidth="1"/>
  </cols>
  <sheetData>
    <row r="1" spans="1:15" ht="34.5" x14ac:dyDescent="0.45">
      <c r="A1" s="745" t="s">
        <v>63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1:15" ht="17.25" x14ac:dyDescent="0.3">
      <c r="L2" s="75" t="s">
        <v>62</v>
      </c>
      <c r="M2" s="76">
        <f ca="1">TODAY()</f>
        <v>44848</v>
      </c>
    </row>
    <row r="3" spans="1:15" s="52" customFormat="1" x14ac:dyDescent="0.25">
      <c r="A3" s="45"/>
      <c r="B3" s="45"/>
      <c r="C3" s="46"/>
      <c r="D3" s="45"/>
      <c r="E3" s="296" t="s">
        <v>43</v>
      </c>
      <c r="F3" s="294"/>
      <c r="G3" s="324"/>
      <c r="H3" s="48" t="s">
        <v>111</v>
      </c>
      <c r="I3" s="49" t="s">
        <v>110</v>
      </c>
      <c r="J3" s="50"/>
      <c r="K3" s="49"/>
      <c r="L3" s="51"/>
    </row>
    <row r="4" spans="1:15" s="1" customFormat="1" ht="45" customHeight="1" x14ac:dyDescent="0.3">
      <c r="A4" s="746" t="s">
        <v>0</v>
      </c>
      <c r="B4" s="750" t="s">
        <v>37</v>
      </c>
      <c r="C4" s="750" t="s">
        <v>39</v>
      </c>
      <c r="D4" s="289" t="s">
        <v>64</v>
      </c>
      <c r="E4" s="292" t="s">
        <v>3</v>
      </c>
      <c r="F4" s="808" t="s">
        <v>4</v>
      </c>
      <c r="G4" s="308" t="s">
        <v>743</v>
      </c>
      <c r="H4" s="135" t="s">
        <v>6</v>
      </c>
      <c r="I4" s="752" t="s">
        <v>7</v>
      </c>
      <c r="J4" s="753"/>
      <c r="K4" s="752" t="s">
        <v>8</v>
      </c>
      <c r="L4" s="753"/>
      <c r="M4" s="137" t="s">
        <v>55</v>
      </c>
      <c r="N4" s="7" t="s">
        <v>1</v>
      </c>
      <c r="O4" s="62" t="s">
        <v>9</v>
      </c>
    </row>
    <row r="5" spans="1:15" s="1" customFormat="1" ht="15.75" customHeight="1" x14ac:dyDescent="0.3">
      <c r="A5" s="747"/>
      <c r="B5" s="751"/>
      <c r="C5" s="751"/>
      <c r="D5" s="290"/>
      <c r="E5" s="293"/>
      <c r="F5" s="809"/>
      <c r="G5" s="325" t="s">
        <v>13</v>
      </c>
      <c r="H5" s="21" t="s">
        <v>13</v>
      </c>
      <c r="I5" s="21" t="s">
        <v>51</v>
      </c>
      <c r="J5" s="21" t="s">
        <v>53</v>
      </c>
      <c r="K5" s="21" t="s">
        <v>51</v>
      </c>
      <c r="L5" s="21" t="s">
        <v>52</v>
      </c>
      <c r="M5" s="21" t="s">
        <v>13</v>
      </c>
      <c r="N5" s="7"/>
      <c r="O5" s="64" t="s">
        <v>13</v>
      </c>
    </row>
    <row r="6" spans="1:15" s="59" customFormat="1" x14ac:dyDescent="0.25">
      <c r="A6" s="28" t="s">
        <v>32</v>
      </c>
      <c r="B6" s="30" t="s">
        <v>1018</v>
      </c>
      <c r="C6" s="17" t="s">
        <v>351</v>
      </c>
      <c r="D6" s="321" t="s">
        <v>134</v>
      </c>
      <c r="E6" s="646" t="s">
        <v>54</v>
      </c>
      <c r="F6" s="646" t="s">
        <v>10</v>
      </c>
      <c r="G6" s="326"/>
      <c r="H6" s="32">
        <v>25280</v>
      </c>
      <c r="I6" s="25"/>
      <c r="J6" s="14"/>
      <c r="K6" s="5"/>
      <c r="L6" s="5"/>
      <c r="M6" s="14">
        <f t="shared" ref="M6:M46" si="0">+H6+J6-L6</f>
        <v>25280</v>
      </c>
      <c r="N6" s="274" t="s">
        <v>57</v>
      </c>
      <c r="O6" s="65">
        <f t="shared" ref="O6:O38" si="1">+H6+I6-K6</f>
        <v>25280</v>
      </c>
    </row>
    <row r="7" spans="1:15" s="12" customFormat="1" x14ac:dyDescent="0.25">
      <c r="A7" s="28" t="s">
        <v>33</v>
      </c>
      <c r="B7" s="31" t="s">
        <v>357</v>
      </c>
      <c r="C7" s="20" t="s">
        <v>356</v>
      </c>
      <c r="D7" s="305" t="s">
        <v>67</v>
      </c>
      <c r="E7" s="646" t="s">
        <v>54</v>
      </c>
      <c r="F7" s="646" t="s">
        <v>10</v>
      </c>
      <c r="G7" s="326"/>
      <c r="H7" s="32">
        <v>106950</v>
      </c>
      <c r="I7" s="25"/>
      <c r="J7" s="14"/>
      <c r="K7" s="5"/>
      <c r="L7" s="5"/>
      <c r="M7" s="14">
        <f t="shared" si="0"/>
        <v>106950</v>
      </c>
      <c r="N7" s="274" t="s">
        <v>58</v>
      </c>
      <c r="O7" s="65">
        <f t="shared" si="1"/>
        <v>106950</v>
      </c>
    </row>
    <row r="8" spans="1:15" s="3" customFormat="1" x14ac:dyDescent="0.25">
      <c r="A8" s="28" t="s">
        <v>34</v>
      </c>
      <c r="B8" s="31" t="s">
        <v>376</v>
      </c>
      <c r="C8" s="20" t="s">
        <v>379</v>
      </c>
      <c r="D8" s="305" t="s">
        <v>67</v>
      </c>
      <c r="E8" s="646" t="s">
        <v>54</v>
      </c>
      <c r="F8" s="646" t="s">
        <v>10</v>
      </c>
      <c r="G8" s="326"/>
      <c r="H8" s="32">
        <f>178000+100650+103060+100030+25950</f>
        <v>507690</v>
      </c>
      <c r="I8" s="25"/>
      <c r="J8" s="14"/>
      <c r="K8" s="5"/>
      <c r="L8" s="5"/>
      <c r="M8" s="14">
        <f t="shared" si="0"/>
        <v>507690</v>
      </c>
      <c r="N8" s="274" t="s">
        <v>12</v>
      </c>
      <c r="O8" s="65">
        <f t="shared" si="1"/>
        <v>507690</v>
      </c>
    </row>
    <row r="9" spans="1:15" s="3" customFormat="1" x14ac:dyDescent="0.25">
      <c r="A9" s="28" t="s">
        <v>35</v>
      </c>
      <c r="B9" s="31" t="s">
        <v>468</v>
      </c>
      <c r="C9" s="20" t="s">
        <v>469</v>
      </c>
      <c r="D9" s="305" t="s">
        <v>183</v>
      </c>
      <c r="E9" s="646" t="s">
        <v>54</v>
      </c>
      <c r="F9" s="646" t="s">
        <v>10</v>
      </c>
      <c r="G9" s="326"/>
      <c r="H9" s="32">
        <v>78380</v>
      </c>
      <c r="I9" s="25"/>
      <c r="J9" s="14"/>
      <c r="K9" s="5"/>
      <c r="L9" s="5"/>
      <c r="M9" s="14">
        <f t="shared" si="0"/>
        <v>78380</v>
      </c>
      <c r="N9" s="274" t="s">
        <v>204</v>
      </c>
      <c r="O9" s="65">
        <f t="shared" si="1"/>
        <v>78380</v>
      </c>
    </row>
    <row r="10" spans="1:15" s="3" customFormat="1" x14ac:dyDescent="0.25">
      <c r="A10" s="28" t="s">
        <v>36</v>
      </c>
      <c r="B10" s="31" t="s">
        <v>471</v>
      </c>
      <c r="C10" s="87" t="s">
        <v>474</v>
      </c>
      <c r="D10" s="305" t="s">
        <v>67</v>
      </c>
      <c r="E10" s="646" t="s">
        <v>54</v>
      </c>
      <c r="F10" s="646" t="s">
        <v>10</v>
      </c>
      <c r="G10" s="326"/>
      <c r="H10" s="32">
        <v>84700</v>
      </c>
      <c r="I10" s="25"/>
      <c r="J10" s="14"/>
      <c r="K10" s="5"/>
      <c r="L10" s="201">
        <f>'1026'!H14</f>
        <v>82620</v>
      </c>
      <c r="M10" s="14">
        <f t="shared" si="0"/>
        <v>2080</v>
      </c>
      <c r="N10" s="274" t="s">
        <v>58</v>
      </c>
      <c r="O10" s="65">
        <f t="shared" si="1"/>
        <v>84700</v>
      </c>
    </row>
    <row r="11" spans="1:15" s="3" customFormat="1" x14ac:dyDescent="0.25">
      <c r="A11" s="28" t="s">
        <v>17</v>
      </c>
      <c r="B11" s="31" t="s">
        <v>484</v>
      </c>
      <c r="C11" s="20" t="s">
        <v>485</v>
      </c>
      <c r="D11" s="305" t="s">
        <v>67</v>
      </c>
      <c r="E11" s="646" t="s">
        <v>54</v>
      </c>
      <c r="F11" s="646" t="s">
        <v>10</v>
      </c>
      <c r="G11" s="326"/>
      <c r="H11" s="32">
        <f>160510+190380+161520+26410</f>
        <v>538820</v>
      </c>
      <c r="I11" s="25"/>
      <c r="J11" s="14"/>
      <c r="K11" s="5"/>
      <c r="L11" s="5"/>
      <c r="M11" s="14">
        <f t="shared" si="0"/>
        <v>538820</v>
      </c>
      <c r="N11" s="274" t="s">
        <v>12</v>
      </c>
      <c r="O11" s="65">
        <f t="shared" si="1"/>
        <v>538820</v>
      </c>
    </row>
    <row r="12" spans="1:15" s="3" customFormat="1" x14ac:dyDescent="0.25">
      <c r="A12" s="28" t="s">
        <v>18</v>
      </c>
      <c r="B12" s="31" t="s">
        <v>484</v>
      </c>
      <c r="C12" s="20" t="s">
        <v>486</v>
      </c>
      <c r="D12" s="305" t="s">
        <v>183</v>
      </c>
      <c r="E12" s="646" t="s">
        <v>54</v>
      </c>
      <c r="F12" s="646" t="s">
        <v>10</v>
      </c>
      <c r="G12" s="326"/>
      <c r="H12" s="32">
        <v>78170</v>
      </c>
      <c r="I12" s="25"/>
      <c r="J12" s="14"/>
      <c r="K12" s="5"/>
      <c r="L12" s="5"/>
      <c r="M12" s="14">
        <f t="shared" si="0"/>
        <v>78170</v>
      </c>
      <c r="N12" s="274" t="s">
        <v>204</v>
      </c>
      <c r="O12" s="65">
        <f t="shared" si="1"/>
        <v>78170</v>
      </c>
    </row>
    <row r="13" spans="1:15" s="3" customFormat="1" x14ac:dyDescent="0.25">
      <c r="A13" s="28" t="s">
        <v>19</v>
      </c>
      <c r="B13" s="31" t="s">
        <v>484</v>
      </c>
      <c r="C13" s="20" t="s">
        <v>487</v>
      </c>
      <c r="D13" s="305" t="s">
        <v>74</v>
      </c>
      <c r="E13" s="646" t="s">
        <v>54</v>
      </c>
      <c r="F13" s="646" t="s">
        <v>10</v>
      </c>
      <c r="G13" s="326"/>
      <c r="H13" s="32">
        <f>73100+137950+95010</f>
        <v>306060</v>
      </c>
      <c r="I13" s="25"/>
      <c r="J13" s="14"/>
      <c r="K13" s="5"/>
      <c r="L13" s="5"/>
      <c r="M13" s="14">
        <f t="shared" si="0"/>
        <v>306060</v>
      </c>
      <c r="N13" s="274" t="s">
        <v>403</v>
      </c>
      <c r="O13" s="65">
        <f t="shared" si="1"/>
        <v>306060</v>
      </c>
    </row>
    <row r="14" spans="1:15" s="3" customFormat="1" x14ac:dyDescent="0.25">
      <c r="A14" s="28" t="s">
        <v>20</v>
      </c>
      <c r="B14" s="31" t="s">
        <v>489</v>
      </c>
      <c r="C14" s="20" t="s">
        <v>490</v>
      </c>
      <c r="D14" s="305" t="s">
        <v>134</v>
      </c>
      <c r="E14" s="646" t="s">
        <v>54</v>
      </c>
      <c r="F14" s="646" t="s">
        <v>10</v>
      </c>
      <c r="G14" s="326"/>
      <c r="H14" s="32">
        <f>25700+98820</f>
        <v>124520</v>
      </c>
      <c r="I14" s="25"/>
      <c r="J14" s="14"/>
      <c r="K14" s="5"/>
      <c r="L14" s="5"/>
      <c r="M14" s="14">
        <f t="shared" si="0"/>
        <v>124520</v>
      </c>
      <c r="N14" s="274" t="s">
        <v>290</v>
      </c>
      <c r="O14" s="65">
        <f t="shared" si="1"/>
        <v>124520</v>
      </c>
    </row>
    <row r="15" spans="1:15" s="3" customFormat="1" x14ac:dyDescent="0.25">
      <c r="A15" s="28" t="s">
        <v>387</v>
      </c>
      <c r="B15" s="31" t="s">
        <v>494</v>
      </c>
      <c r="C15" s="369" t="s">
        <v>496</v>
      </c>
      <c r="D15" s="305" t="s">
        <v>183</v>
      </c>
      <c r="E15" s="646" t="s">
        <v>54</v>
      </c>
      <c r="F15" s="646" t="s">
        <v>10</v>
      </c>
      <c r="G15" s="326"/>
      <c r="H15" s="32">
        <f>105230+107190</f>
        <v>212420</v>
      </c>
      <c r="I15" s="25"/>
      <c r="J15" s="14"/>
      <c r="K15" s="5"/>
      <c r="L15" s="201">
        <f>'6811'!H14</f>
        <v>197330</v>
      </c>
      <c r="M15" s="14">
        <f t="shared" si="0"/>
        <v>15090</v>
      </c>
      <c r="N15" s="274" t="s">
        <v>315</v>
      </c>
      <c r="O15" s="65">
        <f t="shared" si="1"/>
        <v>212420</v>
      </c>
    </row>
    <row r="16" spans="1:15" s="3" customFormat="1" x14ac:dyDescent="0.25">
      <c r="A16" s="28" t="s">
        <v>21</v>
      </c>
      <c r="B16" s="31" t="s">
        <v>494</v>
      </c>
      <c r="C16" s="20" t="s">
        <v>498</v>
      </c>
      <c r="D16" s="305" t="s">
        <v>74</v>
      </c>
      <c r="E16" s="646" t="s">
        <v>54</v>
      </c>
      <c r="F16" s="646" t="s">
        <v>10</v>
      </c>
      <c r="G16" s="326"/>
      <c r="H16" s="32">
        <f>25380+118620+23860</f>
        <v>167860</v>
      </c>
      <c r="I16" s="25"/>
      <c r="J16" s="14"/>
      <c r="K16" s="5"/>
      <c r="L16" s="5"/>
      <c r="M16" s="14">
        <f t="shared" si="0"/>
        <v>167860</v>
      </c>
      <c r="N16" s="274" t="s">
        <v>185</v>
      </c>
      <c r="O16" s="65">
        <f t="shared" si="1"/>
        <v>167860</v>
      </c>
    </row>
    <row r="17" spans="1:15" s="3" customFormat="1" x14ac:dyDescent="0.25">
      <c r="A17" s="28" t="s">
        <v>422</v>
      </c>
      <c r="B17" s="31" t="s">
        <v>500</v>
      </c>
      <c r="C17" s="369" t="s">
        <v>501</v>
      </c>
      <c r="D17" s="305" t="s">
        <v>183</v>
      </c>
      <c r="E17" s="646" t="s">
        <v>54</v>
      </c>
      <c r="F17" s="646" t="s">
        <v>10</v>
      </c>
      <c r="G17" s="326"/>
      <c r="H17" s="32">
        <f>76510+103410+152050+51350</f>
        <v>383320</v>
      </c>
      <c r="I17" s="25"/>
      <c r="J17" s="14"/>
      <c r="K17" s="5"/>
      <c r="L17" s="201">
        <f>'092L'!H14</f>
        <v>358070</v>
      </c>
      <c r="M17" s="14">
        <f t="shared" si="0"/>
        <v>25250</v>
      </c>
      <c r="N17" s="274" t="s">
        <v>232</v>
      </c>
      <c r="O17" s="65">
        <f t="shared" si="1"/>
        <v>383320</v>
      </c>
    </row>
    <row r="18" spans="1:15" s="3" customFormat="1" x14ac:dyDescent="0.25">
      <c r="A18" s="28" t="s">
        <v>423</v>
      </c>
      <c r="B18" s="31" t="s">
        <v>504</v>
      </c>
      <c r="C18" s="369" t="s">
        <v>505</v>
      </c>
      <c r="D18" s="305" t="s">
        <v>74</v>
      </c>
      <c r="E18" s="646" t="s">
        <v>54</v>
      </c>
      <c r="F18" s="646" t="s">
        <v>10</v>
      </c>
      <c r="G18" s="326"/>
      <c r="H18" s="32">
        <f>73060+146070+94230</f>
        <v>313360</v>
      </c>
      <c r="I18" s="25"/>
      <c r="J18" s="14"/>
      <c r="K18" s="5"/>
      <c r="L18" s="201">
        <f>'0711'!H16</f>
        <v>47650</v>
      </c>
      <c r="M18" s="14">
        <f t="shared" si="0"/>
        <v>265710</v>
      </c>
      <c r="N18" s="274" t="s">
        <v>403</v>
      </c>
      <c r="O18" s="65">
        <f t="shared" si="1"/>
        <v>313360</v>
      </c>
    </row>
    <row r="19" spans="1:15" s="3" customFormat="1" x14ac:dyDescent="0.25">
      <c r="A19" s="28" t="s">
        <v>424</v>
      </c>
      <c r="B19" s="31" t="s">
        <v>507</v>
      </c>
      <c r="C19" s="20" t="s">
        <v>508</v>
      </c>
      <c r="D19" s="305" t="s">
        <v>183</v>
      </c>
      <c r="E19" s="646" t="s">
        <v>54</v>
      </c>
      <c r="F19" s="646" t="s">
        <v>10</v>
      </c>
      <c r="G19" s="326"/>
      <c r="H19" s="32">
        <f>48970+96950</f>
        <v>145920</v>
      </c>
      <c r="I19" s="25"/>
      <c r="J19" s="14"/>
      <c r="K19" s="5"/>
      <c r="L19" s="5"/>
      <c r="M19" s="14">
        <f t="shared" si="0"/>
        <v>145920</v>
      </c>
      <c r="N19" s="274" t="s">
        <v>58</v>
      </c>
      <c r="O19" s="65">
        <f t="shared" si="1"/>
        <v>145920</v>
      </c>
    </row>
    <row r="20" spans="1:15" s="3" customFormat="1" x14ac:dyDescent="0.25">
      <c r="A20" s="28" t="s">
        <v>22</v>
      </c>
      <c r="B20" s="31" t="s">
        <v>507</v>
      </c>
      <c r="C20" s="20" t="s">
        <v>509</v>
      </c>
      <c r="D20" s="305" t="s">
        <v>183</v>
      </c>
      <c r="E20" s="646" t="s">
        <v>54</v>
      </c>
      <c r="F20" s="646" t="s">
        <v>10</v>
      </c>
      <c r="G20" s="326"/>
      <c r="H20" s="32">
        <f>48330+48060</f>
        <v>96390</v>
      </c>
      <c r="I20" s="25"/>
      <c r="J20" s="14"/>
      <c r="K20" s="5"/>
      <c r="L20" s="5"/>
      <c r="M20" s="14">
        <f t="shared" si="0"/>
        <v>96390</v>
      </c>
      <c r="N20" s="274" t="s">
        <v>329</v>
      </c>
      <c r="O20" s="65">
        <f t="shared" si="1"/>
        <v>96390</v>
      </c>
    </row>
    <row r="21" spans="1:15" s="3" customFormat="1" x14ac:dyDescent="0.25">
      <c r="A21" s="28" t="s">
        <v>425</v>
      </c>
      <c r="B21" s="31" t="s">
        <v>507</v>
      </c>
      <c r="C21" s="20" t="s">
        <v>513</v>
      </c>
      <c r="D21" s="305" t="s">
        <v>183</v>
      </c>
      <c r="E21" s="646" t="s">
        <v>54</v>
      </c>
      <c r="F21" s="646" t="s">
        <v>10</v>
      </c>
      <c r="G21" s="326"/>
      <c r="H21" s="32">
        <f>51470+73000</f>
        <v>124470</v>
      </c>
      <c r="I21" s="25"/>
      <c r="J21" s="14"/>
      <c r="K21" s="5"/>
      <c r="L21" s="5"/>
      <c r="M21" s="14">
        <f t="shared" si="0"/>
        <v>124470</v>
      </c>
      <c r="N21" s="274" t="s">
        <v>290</v>
      </c>
      <c r="O21" s="65">
        <f t="shared" si="1"/>
        <v>124470</v>
      </c>
    </row>
    <row r="22" spans="1:15" s="3" customFormat="1" x14ac:dyDescent="0.25">
      <c r="A22" s="28" t="s">
        <v>426</v>
      </c>
      <c r="B22" s="31" t="s">
        <v>514</v>
      </c>
      <c r="C22" s="20" t="s">
        <v>516</v>
      </c>
      <c r="D22" s="305" t="s">
        <v>67</v>
      </c>
      <c r="E22" s="646" t="s">
        <v>54</v>
      </c>
      <c r="F22" s="646" t="s">
        <v>10</v>
      </c>
      <c r="G22" s="326"/>
      <c r="H22" s="32">
        <f>51670+105520+156440+105880+157820</f>
        <v>577330</v>
      </c>
      <c r="I22" s="25"/>
      <c r="J22" s="14"/>
      <c r="K22" s="5"/>
      <c r="L22" s="5"/>
      <c r="M22" s="14">
        <f t="shared" si="0"/>
        <v>577330</v>
      </c>
      <c r="N22" s="274" t="s">
        <v>517</v>
      </c>
      <c r="O22" s="65">
        <f t="shared" si="1"/>
        <v>577330</v>
      </c>
    </row>
    <row r="23" spans="1:15" s="3" customFormat="1" x14ac:dyDescent="0.25">
      <c r="A23" s="28" t="s">
        <v>427</v>
      </c>
      <c r="B23" s="31" t="s">
        <v>514</v>
      </c>
      <c r="C23" s="20" t="s">
        <v>519</v>
      </c>
      <c r="D23" s="305" t="s">
        <v>67</v>
      </c>
      <c r="E23" s="646" t="s">
        <v>54</v>
      </c>
      <c r="F23" s="646" t="s">
        <v>10</v>
      </c>
      <c r="G23" s="326"/>
      <c r="H23" s="32">
        <f>26120+130300+51910</f>
        <v>208330</v>
      </c>
      <c r="I23" s="25"/>
      <c r="J23" s="14"/>
      <c r="K23" s="5"/>
      <c r="L23" s="5"/>
      <c r="M23" s="14">
        <f t="shared" si="0"/>
        <v>208330</v>
      </c>
      <c r="N23" s="274" t="s">
        <v>315</v>
      </c>
      <c r="O23" s="65">
        <f t="shared" si="1"/>
        <v>208330</v>
      </c>
    </row>
    <row r="24" spans="1:15" s="3" customFormat="1" x14ac:dyDescent="0.25">
      <c r="A24" s="28" t="s">
        <v>23</v>
      </c>
      <c r="B24" s="31" t="s">
        <v>522</v>
      </c>
      <c r="C24" s="20" t="s">
        <v>524</v>
      </c>
      <c r="D24" s="305" t="s">
        <v>67</v>
      </c>
      <c r="E24" s="646" t="s">
        <v>54</v>
      </c>
      <c r="F24" s="646" t="s">
        <v>10</v>
      </c>
      <c r="G24" s="326"/>
      <c r="H24" s="32">
        <f>82030+135040</f>
        <v>217070</v>
      </c>
      <c r="I24" s="25"/>
      <c r="J24" s="14"/>
      <c r="K24" s="5"/>
      <c r="L24" s="5"/>
      <c r="M24" s="14">
        <f t="shared" si="0"/>
        <v>217070</v>
      </c>
      <c r="N24" s="274" t="s">
        <v>315</v>
      </c>
      <c r="O24" s="65">
        <f t="shared" si="1"/>
        <v>217070</v>
      </c>
    </row>
    <row r="25" spans="1:15" s="3" customFormat="1" x14ac:dyDescent="0.25">
      <c r="A25" s="28" t="s">
        <v>428</v>
      </c>
      <c r="B25" s="31" t="s">
        <v>522</v>
      </c>
      <c r="C25" s="20" t="s">
        <v>525</v>
      </c>
      <c r="D25" s="305" t="s">
        <v>67</v>
      </c>
      <c r="E25" s="646" t="s">
        <v>54</v>
      </c>
      <c r="F25" s="646" t="s">
        <v>10</v>
      </c>
      <c r="G25" s="326"/>
      <c r="H25" s="32">
        <v>105510</v>
      </c>
      <c r="I25" s="25"/>
      <c r="J25" s="14"/>
      <c r="K25" s="5"/>
      <c r="L25" s="5"/>
      <c r="M25" s="14">
        <f t="shared" si="0"/>
        <v>105510</v>
      </c>
      <c r="N25" s="274" t="s">
        <v>329</v>
      </c>
      <c r="O25" s="65">
        <f t="shared" si="1"/>
        <v>105510</v>
      </c>
    </row>
    <row r="26" spans="1:15" s="3" customFormat="1" x14ac:dyDescent="0.25">
      <c r="A26" s="28" t="s">
        <v>24</v>
      </c>
      <c r="B26" s="31" t="s">
        <v>526</v>
      </c>
      <c r="C26" s="20" t="s">
        <v>527</v>
      </c>
      <c r="D26" s="305" t="s">
        <v>183</v>
      </c>
      <c r="E26" s="646" t="s">
        <v>54</v>
      </c>
      <c r="F26" s="646" t="s">
        <v>10</v>
      </c>
      <c r="G26" s="326"/>
      <c r="H26" s="32">
        <v>101640</v>
      </c>
      <c r="I26" s="25"/>
      <c r="J26" s="14"/>
      <c r="K26" s="5"/>
      <c r="L26" s="5"/>
      <c r="M26" s="14">
        <f t="shared" si="0"/>
        <v>101640</v>
      </c>
      <c r="N26" s="274" t="s">
        <v>329</v>
      </c>
      <c r="O26" s="65">
        <f t="shared" si="1"/>
        <v>101640</v>
      </c>
    </row>
    <row r="27" spans="1:15" s="3" customFormat="1" x14ac:dyDescent="0.25">
      <c r="A27" s="28" t="s">
        <v>25</v>
      </c>
      <c r="B27" s="31" t="s">
        <v>526</v>
      </c>
      <c r="C27" s="20" t="s">
        <v>530</v>
      </c>
      <c r="D27" s="305" t="s">
        <v>74</v>
      </c>
      <c r="E27" s="646" t="s">
        <v>54</v>
      </c>
      <c r="F27" s="646" t="s">
        <v>10</v>
      </c>
      <c r="G27" s="326"/>
      <c r="H27" s="32">
        <f>75260+125520</f>
        <v>200780</v>
      </c>
      <c r="I27" s="25"/>
      <c r="J27" s="14"/>
      <c r="K27" s="5"/>
      <c r="L27" s="5"/>
      <c r="M27" s="14">
        <f t="shared" si="0"/>
        <v>200780</v>
      </c>
      <c r="N27" s="274" t="s">
        <v>315</v>
      </c>
      <c r="O27" s="65">
        <f t="shared" si="1"/>
        <v>200780</v>
      </c>
    </row>
    <row r="28" spans="1:15" s="3" customFormat="1" x14ac:dyDescent="0.25">
      <c r="A28" s="28" t="s">
        <v>26</v>
      </c>
      <c r="B28" s="31" t="s">
        <v>526</v>
      </c>
      <c r="C28" s="20" t="s">
        <v>531</v>
      </c>
      <c r="D28" s="305" t="s">
        <v>186</v>
      </c>
      <c r="E28" s="646" t="s">
        <v>54</v>
      </c>
      <c r="F28" s="646" t="s">
        <v>10</v>
      </c>
      <c r="G28" s="326"/>
      <c r="H28" s="32">
        <f>101860+50960</f>
        <v>152820</v>
      </c>
      <c r="I28" s="25"/>
      <c r="J28" s="14"/>
      <c r="K28" s="5"/>
      <c r="L28" s="5"/>
      <c r="M28" s="14">
        <f t="shared" si="0"/>
        <v>152820</v>
      </c>
      <c r="N28" s="274" t="s">
        <v>58</v>
      </c>
      <c r="O28" s="65">
        <f t="shared" si="1"/>
        <v>152820</v>
      </c>
    </row>
    <row r="29" spans="1:15" s="3" customFormat="1" x14ac:dyDescent="0.25">
      <c r="A29" s="28" t="s">
        <v>27</v>
      </c>
      <c r="B29" s="31" t="s">
        <v>532</v>
      </c>
      <c r="C29" s="20" t="s">
        <v>533</v>
      </c>
      <c r="D29" s="305" t="s">
        <v>183</v>
      </c>
      <c r="E29" s="646" t="s">
        <v>54</v>
      </c>
      <c r="F29" s="646" t="s">
        <v>10</v>
      </c>
      <c r="G29" s="326"/>
      <c r="H29" s="32">
        <v>24950</v>
      </c>
      <c r="I29" s="25"/>
      <c r="J29" s="14"/>
      <c r="K29" s="5"/>
      <c r="L29" s="5"/>
      <c r="M29" s="14">
        <f t="shared" si="0"/>
        <v>24950</v>
      </c>
      <c r="N29" s="274" t="s">
        <v>57</v>
      </c>
      <c r="O29" s="65">
        <f t="shared" si="1"/>
        <v>24950</v>
      </c>
    </row>
    <row r="30" spans="1:15" s="3" customFormat="1" x14ac:dyDescent="0.25">
      <c r="A30" s="28" t="s">
        <v>28</v>
      </c>
      <c r="B30" s="31" t="s">
        <v>532</v>
      </c>
      <c r="C30" s="20" t="s">
        <v>534</v>
      </c>
      <c r="D30" s="305" t="s">
        <v>183</v>
      </c>
      <c r="E30" s="646" t="s">
        <v>54</v>
      </c>
      <c r="F30" s="646" t="s">
        <v>10</v>
      </c>
      <c r="G30" s="326"/>
      <c r="H30" s="32">
        <f>27000+107800</f>
        <v>134800</v>
      </c>
      <c r="I30" s="25"/>
      <c r="J30" s="14"/>
      <c r="K30" s="5"/>
      <c r="L30" s="5"/>
      <c r="M30" s="14">
        <f t="shared" si="0"/>
        <v>134800</v>
      </c>
      <c r="N30" s="274" t="s">
        <v>290</v>
      </c>
      <c r="O30" s="65">
        <f t="shared" si="1"/>
        <v>134800</v>
      </c>
    </row>
    <row r="31" spans="1:15" s="3" customFormat="1" x14ac:dyDescent="0.25">
      <c r="A31" s="28" t="s">
        <v>29</v>
      </c>
      <c r="B31" s="31" t="s">
        <v>1015</v>
      </c>
      <c r="C31" s="20" t="s">
        <v>580</v>
      </c>
      <c r="D31" s="305" t="s">
        <v>74</v>
      </c>
      <c r="E31" s="646" t="s">
        <v>54</v>
      </c>
      <c r="F31" s="646" t="s">
        <v>10</v>
      </c>
      <c r="G31" s="326"/>
      <c r="H31" s="32">
        <f>127140+253800+227500+154150</f>
        <v>762590</v>
      </c>
      <c r="I31" s="25"/>
      <c r="J31" s="14"/>
      <c r="K31" s="5"/>
      <c r="L31" s="5"/>
      <c r="M31" s="14">
        <f t="shared" si="0"/>
        <v>762590</v>
      </c>
      <c r="N31" s="274" t="s">
        <v>581</v>
      </c>
      <c r="O31" s="65">
        <f t="shared" si="1"/>
        <v>762590</v>
      </c>
    </row>
    <row r="32" spans="1:15" s="3" customFormat="1" x14ac:dyDescent="0.25">
      <c r="A32" s="28" t="s">
        <v>30</v>
      </c>
      <c r="B32" s="31" t="s">
        <v>589</v>
      </c>
      <c r="C32" s="20" t="s">
        <v>587</v>
      </c>
      <c r="D32" s="305" t="s">
        <v>183</v>
      </c>
      <c r="E32" s="646" t="s">
        <v>54</v>
      </c>
      <c r="F32" s="646" t="s">
        <v>10</v>
      </c>
      <c r="G32" s="326"/>
      <c r="H32" s="32">
        <f>159850+26340</f>
        <v>186190</v>
      </c>
      <c r="I32" s="25"/>
      <c r="J32" s="14"/>
      <c r="K32" s="5"/>
      <c r="L32" s="5"/>
      <c r="M32" s="14">
        <f t="shared" si="0"/>
        <v>186190</v>
      </c>
      <c r="N32" s="274" t="s">
        <v>588</v>
      </c>
      <c r="O32" s="65">
        <f t="shared" si="1"/>
        <v>186190</v>
      </c>
    </row>
    <row r="33" spans="1:15" s="3" customFormat="1" x14ac:dyDescent="0.25">
      <c r="A33" s="28" t="s">
        <v>31</v>
      </c>
      <c r="B33" s="31" t="s">
        <v>632</v>
      </c>
      <c r="C33" s="20" t="s">
        <v>634</v>
      </c>
      <c r="D33" s="305" t="s">
        <v>183</v>
      </c>
      <c r="E33" s="646" t="s">
        <v>54</v>
      </c>
      <c r="F33" s="646" t="s">
        <v>10</v>
      </c>
      <c r="G33" s="326"/>
      <c r="H33" s="32">
        <f>129690+151040+148400+125730</f>
        <v>554860</v>
      </c>
      <c r="I33" s="25"/>
      <c r="J33" s="14"/>
      <c r="K33" s="5"/>
      <c r="L33" s="5"/>
      <c r="M33" s="14">
        <f t="shared" si="0"/>
        <v>554860</v>
      </c>
      <c r="N33" s="274" t="s">
        <v>635</v>
      </c>
      <c r="O33" s="65">
        <f t="shared" si="1"/>
        <v>554860</v>
      </c>
    </row>
    <row r="34" spans="1:15" s="3" customFormat="1" x14ac:dyDescent="0.25">
      <c r="A34" s="28" t="s">
        <v>192</v>
      </c>
      <c r="B34" s="31" t="s">
        <v>772</v>
      </c>
      <c r="C34" s="20" t="s">
        <v>771</v>
      </c>
      <c r="D34" s="305" t="s">
        <v>183</v>
      </c>
      <c r="E34" s="646" t="s">
        <v>54</v>
      </c>
      <c r="F34" s="646" t="s">
        <v>10</v>
      </c>
      <c r="G34" s="326">
        <v>227020</v>
      </c>
      <c r="H34" s="32">
        <f>126960+51030+50450</f>
        <v>228440</v>
      </c>
      <c r="I34" s="25"/>
      <c r="J34" s="14"/>
      <c r="K34" s="5"/>
      <c r="L34" s="5"/>
      <c r="M34" s="14">
        <f t="shared" si="0"/>
        <v>228440</v>
      </c>
      <c r="N34" s="274" t="s">
        <v>332</v>
      </c>
      <c r="O34" s="65">
        <f t="shared" si="1"/>
        <v>228440</v>
      </c>
    </row>
    <row r="35" spans="1:15" s="3" customFormat="1" x14ac:dyDescent="0.25">
      <c r="A35" s="28" t="s">
        <v>193</v>
      </c>
      <c r="B35" s="31" t="s">
        <v>779</v>
      </c>
      <c r="C35" s="20" t="s">
        <v>782</v>
      </c>
      <c r="D35" s="305" t="s">
        <v>183</v>
      </c>
      <c r="E35" s="646" t="s">
        <v>54</v>
      </c>
      <c r="F35" s="646" t="s">
        <v>10</v>
      </c>
      <c r="G35" s="326">
        <v>249110</v>
      </c>
      <c r="H35" s="32">
        <f>75060+124820+51290</f>
        <v>251170</v>
      </c>
      <c r="I35" s="25"/>
      <c r="J35" s="14"/>
      <c r="K35" s="5"/>
      <c r="L35" s="5"/>
      <c r="M35" s="14">
        <f t="shared" si="0"/>
        <v>251170</v>
      </c>
      <c r="N35" s="274" t="s">
        <v>40</v>
      </c>
      <c r="O35" s="65">
        <f t="shared" si="1"/>
        <v>251170</v>
      </c>
    </row>
    <row r="36" spans="1:15" s="3" customFormat="1" x14ac:dyDescent="0.25">
      <c r="A36" s="28" t="s">
        <v>194</v>
      </c>
      <c r="B36" s="31" t="s">
        <v>803</v>
      </c>
      <c r="C36" s="20" t="s">
        <v>804</v>
      </c>
      <c r="D36" s="305" t="s">
        <v>74</v>
      </c>
      <c r="E36" s="646" t="s">
        <v>54</v>
      </c>
      <c r="F36" s="646" t="s">
        <v>10</v>
      </c>
      <c r="G36" s="326">
        <v>647500</v>
      </c>
      <c r="H36" s="32">
        <f>421950+192340+32890</f>
        <v>647180</v>
      </c>
      <c r="I36" s="25"/>
      <c r="J36" s="14"/>
      <c r="K36" s="5"/>
      <c r="L36" s="5"/>
      <c r="M36" s="14">
        <f t="shared" si="0"/>
        <v>647180</v>
      </c>
      <c r="N36" s="319" t="s">
        <v>797</v>
      </c>
      <c r="O36" s="65">
        <f t="shared" si="1"/>
        <v>647180</v>
      </c>
    </row>
    <row r="37" spans="1:15" s="510" customFormat="1" x14ac:dyDescent="0.25">
      <c r="A37" s="28" t="s">
        <v>195</v>
      </c>
      <c r="B37" s="500" t="s">
        <v>636</v>
      </c>
      <c r="C37" s="501" t="s">
        <v>637</v>
      </c>
      <c r="D37" s="643" t="s">
        <v>67</v>
      </c>
      <c r="E37" s="647" t="s">
        <v>54</v>
      </c>
      <c r="F37" s="648" t="s">
        <v>10</v>
      </c>
      <c r="G37" s="504"/>
      <c r="H37" s="537">
        <v>504730</v>
      </c>
      <c r="I37" s="505"/>
      <c r="J37" s="506"/>
      <c r="K37" s="507"/>
      <c r="L37" s="507"/>
      <c r="M37" s="506">
        <f t="shared" si="0"/>
        <v>504730</v>
      </c>
      <c r="N37" s="508" t="s">
        <v>947</v>
      </c>
      <c r="O37" s="509">
        <f t="shared" si="1"/>
        <v>504730</v>
      </c>
    </row>
    <row r="38" spans="1:15" s="510" customFormat="1" ht="19.5" x14ac:dyDescent="0.3">
      <c r="A38" s="28" t="s">
        <v>196</v>
      </c>
      <c r="B38" s="500" t="s">
        <v>732</v>
      </c>
      <c r="C38" s="501" t="s">
        <v>733</v>
      </c>
      <c r="D38" s="643" t="s">
        <v>183</v>
      </c>
      <c r="E38" s="648" t="s">
        <v>54</v>
      </c>
      <c r="F38" s="648" t="s">
        <v>10</v>
      </c>
      <c r="G38" s="539"/>
      <c r="H38" s="537">
        <f>256020+52920</f>
        <v>308940</v>
      </c>
      <c r="I38" s="505"/>
      <c r="J38" s="506"/>
      <c r="K38" s="507"/>
      <c r="L38" s="507"/>
      <c r="M38" s="506">
        <f t="shared" si="0"/>
        <v>308940</v>
      </c>
      <c r="N38" s="508" t="s">
        <v>950</v>
      </c>
      <c r="O38" s="509">
        <f t="shared" si="1"/>
        <v>308940</v>
      </c>
    </row>
    <row r="39" spans="1:15" s="510" customFormat="1" ht="19.5" x14ac:dyDescent="0.3">
      <c r="A39" s="28" t="s">
        <v>197</v>
      </c>
      <c r="B39" s="500" t="s">
        <v>711</v>
      </c>
      <c r="C39" s="501" t="s">
        <v>714</v>
      </c>
      <c r="D39" s="643" t="s">
        <v>134</v>
      </c>
      <c r="E39" s="648" t="s">
        <v>54</v>
      </c>
      <c r="F39" s="648" t="s">
        <v>10</v>
      </c>
      <c r="G39" s="539"/>
      <c r="H39" s="537">
        <f>128190+179950+26580</f>
        <v>334720</v>
      </c>
      <c r="I39" s="505"/>
      <c r="J39" s="506"/>
      <c r="K39" s="507"/>
      <c r="L39" s="507"/>
      <c r="M39" s="506">
        <f t="shared" si="0"/>
        <v>334720</v>
      </c>
      <c r="N39" s="508" t="s">
        <v>403</v>
      </c>
      <c r="O39" s="509" t="s">
        <v>953</v>
      </c>
    </row>
    <row r="40" spans="1:15" s="510" customFormat="1" x14ac:dyDescent="0.25">
      <c r="A40" s="28" t="s">
        <v>198</v>
      </c>
      <c r="B40" s="500" t="s">
        <v>620</v>
      </c>
      <c r="C40" s="501" t="s">
        <v>621</v>
      </c>
      <c r="D40" s="643" t="s">
        <v>67</v>
      </c>
      <c r="E40" s="648" t="s">
        <v>54</v>
      </c>
      <c r="F40" s="648" t="s">
        <v>10</v>
      </c>
      <c r="G40" s="504"/>
      <c r="H40" s="537">
        <f>100430+227880+203600</f>
        <v>531910</v>
      </c>
      <c r="I40" s="505"/>
      <c r="J40" s="506"/>
      <c r="K40" s="507"/>
      <c r="L40" s="507"/>
      <c r="M40" s="506">
        <f t="shared" si="0"/>
        <v>531910</v>
      </c>
      <c r="N40" s="508" t="s">
        <v>959</v>
      </c>
      <c r="O40" s="509">
        <f>+H40+I40-K40</f>
        <v>531910</v>
      </c>
    </row>
    <row r="41" spans="1:15" s="561" customFormat="1" x14ac:dyDescent="0.25">
      <c r="A41" s="28" t="s">
        <v>199</v>
      </c>
      <c r="B41" s="500" t="s">
        <v>549</v>
      </c>
      <c r="C41" s="501" t="s">
        <v>554</v>
      </c>
      <c r="D41" s="643" t="s">
        <v>186</v>
      </c>
      <c r="E41" s="648" t="s">
        <v>54</v>
      </c>
      <c r="F41" s="648" t="s">
        <v>10</v>
      </c>
      <c r="G41" s="504"/>
      <c r="H41" s="537">
        <f>48940+119810+73860+47910</f>
        <v>290520</v>
      </c>
      <c r="I41" s="505"/>
      <c r="J41" s="506"/>
      <c r="K41" s="507"/>
      <c r="L41" s="507"/>
      <c r="M41" s="506">
        <f t="shared" si="0"/>
        <v>290520</v>
      </c>
      <c r="N41" s="560" t="s">
        <v>962</v>
      </c>
      <c r="O41" s="509">
        <f>+H41+I41-K41</f>
        <v>290520</v>
      </c>
    </row>
    <row r="42" spans="1:15" s="510" customFormat="1" x14ac:dyDescent="0.25">
      <c r="A42" s="28" t="s">
        <v>200</v>
      </c>
      <c r="B42" s="500" t="s">
        <v>555</v>
      </c>
      <c r="C42" s="501" t="s">
        <v>557</v>
      </c>
      <c r="D42" s="643" t="s">
        <v>186</v>
      </c>
      <c r="E42" s="648" t="s">
        <v>54</v>
      </c>
      <c r="F42" s="648" t="s">
        <v>10</v>
      </c>
      <c r="G42" s="504"/>
      <c r="H42" s="537">
        <v>151290</v>
      </c>
      <c r="I42" s="505"/>
      <c r="J42" s="506"/>
      <c r="K42" s="507"/>
      <c r="L42" s="507"/>
      <c r="M42" s="506">
        <f t="shared" si="0"/>
        <v>151290</v>
      </c>
      <c r="N42" s="508" t="s">
        <v>58</v>
      </c>
      <c r="O42" s="509">
        <v>151290</v>
      </c>
    </row>
    <row r="43" spans="1:15" s="510" customFormat="1" x14ac:dyDescent="0.25">
      <c r="A43" s="28" t="s">
        <v>201</v>
      </c>
      <c r="B43" s="500" t="s">
        <v>768</v>
      </c>
      <c r="C43" s="501" t="s">
        <v>770</v>
      </c>
      <c r="D43" s="643" t="s">
        <v>67</v>
      </c>
      <c r="E43" s="648" t="s">
        <v>54</v>
      </c>
      <c r="F43" s="648" t="s">
        <v>10</v>
      </c>
      <c r="G43" s="504">
        <v>443150</v>
      </c>
      <c r="H43" s="537">
        <f>130110+238780+80030</f>
        <v>448920</v>
      </c>
      <c r="I43" s="505"/>
      <c r="J43" s="506"/>
      <c r="K43" s="507"/>
      <c r="L43" s="507"/>
      <c r="M43" s="506">
        <f t="shared" si="0"/>
        <v>448920</v>
      </c>
      <c r="N43" s="508" t="s">
        <v>978</v>
      </c>
      <c r="O43" s="509">
        <f>+H43+I43-K43</f>
        <v>448920</v>
      </c>
    </row>
    <row r="44" spans="1:15" s="3" customFormat="1" x14ac:dyDescent="0.25">
      <c r="A44" s="28" t="s">
        <v>202</v>
      </c>
      <c r="B44" s="31" t="s">
        <v>1062</v>
      </c>
      <c r="C44" s="20" t="s">
        <v>1065</v>
      </c>
      <c r="D44" s="683" t="s">
        <v>74</v>
      </c>
      <c r="E44" s="649" t="s">
        <v>54</v>
      </c>
      <c r="F44" s="649" t="s">
        <v>10</v>
      </c>
      <c r="G44" s="326">
        <v>153750</v>
      </c>
      <c r="H44" s="32">
        <f>126730+25340</f>
        <v>152070</v>
      </c>
      <c r="I44" s="25"/>
      <c r="J44" s="14"/>
      <c r="K44" s="5"/>
      <c r="L44" s="5"/>
      <c r="M44" s="14">
        <f t="shared" si="0"/>
        <v>152070</v>
      </c>
      <c r="N44" s="274" t="s">
        <v>58</v>
      </c>
      <c r="O44" s="65"/>
    </row>
    <row r="45" spans="1:15" s="3" customFormat="1" x14ac:dyDescent="0.25">
      <c r="A45" s="28" t="s">
        <v>203</v>
      </c>
      <c r="B45" s="31" t="s">
        <v>1086</v>
      </c>
      <c r="C45" s="20" t="s">
        <v>1090</v>
      </c>
      <c r="D45" s="683" t="s">
        <v>134</v>
      </c>
      <c r="E45" s="649" t="s">
        <v>54</v>
      </c>
      <c r="F45" s="649" t="s">
        <v>10</v>
      </c>
      <c r="G45" s="326">
        <v>56290</v>
      </c>
      <c r="H45" s="32">
        <v>57070</v>
      </c>
      <c r="I45" s="25"/>
      <c r="J45" s="14"/>
      <c r="K45" s="5"/>
      <c r="L45" s="5"/>
      <c r="M45" s="14">
        <f t="shared" si="0"/>
        <v>57070</v>
      </c>
      <c r="N45" s="274" t="s">
        <v>344</v>
      </c>
      <c r="O45" s="65"/>
    </row>
    <row r="46" spans="1:15" s="510" customFormat="1" ht="19.5" x14ac:dyDescent="0.3">
      <c r="A46" s="28" t="s">
        <v>225</v>
      </c>
      <c r="B46" s="500"/>
      <c r="C46" s="501"/>
      <c r="D46" s="644"/>
      <c r="E46" s="649" t="s">
        <v>54</v>
      </c>
      <c r="F46" s="649" t="s">
        <v>10</v>
      </c>
      <c r="G46" s="539"/>
      <c r="H46" s="642"/>
      <c r="I46" s="505"/>
      <c r="J46" s="506"/>
      <c r="K46" s="507"/>
      <c r="L46" s="507"/>
      <c r="M46" s="14">
        <f t="shared" si="0"/>
        <v>0</v>
      </c>
      <c r="N46" s="508"/>
      <c r="O46" s="509"/>
    </row>
    <row r="47" spans="1:15" s="3" customFormat="1" x14ac:dyDescent="0.25">
      <c r="A47" s="28" t="s">
        <v>226</v>
      </c>
      <c r="B47" s="31"/>
      <c r="C47" s="20"/>
      <c r="D47" s="645"/>
      <c r="E47" s="646" t="s">
        <v>54</v>
      </c>
      <c r="F47" s="649" t="s">
        <v>10</v>
      </c>
      <c r="G47" s="326"/>
      <c r="H47" s="33"/>
      <c r="I47" s="25"/>
      <c r="J47" s="14"/>
      <c r="K47" s="5"/>
      <c r="L47" s="5"/>
      <c r="M47" s="14">
        <f t="shared" ref="M47:M48" si="2">+H47+J47-L47</f>
        <v>0</v>
      </c>
      <c r="N47" s="274"/>
      <c r="O47" s="65">
        <f t="shared" ref="O47" si="3">+H47+I47-K47</f>
        <v>0</v>
      </c>
    </row>
    <row r="48" spans="1:15" s="3" customFormat="1" x14ac:dyDescent="0.25">
      <c r="A48" s="28" t="s">
        <v>227</v>
      </c>
      <c r="B48" s="31"/>
      <c r="C48" s="20"/>
      <c r="D48" s="645"/>
      <c r="E48" s="646" t="s">
        <v>54</v>
      </c>
      <c r="F48" s="649" t="s">
        <v>10</v>
      </c>
      <c r="G48" s="326"/>
      <c r="H48" s="33"/>
      <c r="I48" s="25"/>
      <c r="J48" s="14"/>
      <c r="K48" s="5"/>
      <c r="L48" s="5"/>
      <c r="M48" s="14">
        <f t="shared" si="2"/>
        <v>0</v>
      </c>
      <c r="N48" s="319"/>
      <c r="O48" s="65">
        <f>+H48+I48-K48</f>
        <v>0</v>
      </c>
    </row>
    <row r="49" spans="1:15" s="3" customFormat="1" ht="20.25" x14ac:dyDescent="0.3">
      <c r="A49" s="802" t="s">
        <v>5</v>
      </c>
      <c r="B49" s="803"/>
      <c r="C49" s="803"/>
      <c r="D49" s="803"/>
      <c r="E49" s="803"/>
      <c r="F49" s="804"/>
      <c r="G49" s="328">
        <f>SUM(G6:G48)</f>
        <v>1776820</v>
      </c>
      <c r="H49" s="132">
        <f>SUM(H6:H48)</f>
        <v>10428140</v>
      </c>
      <c r="I49" s="26"/>
      <c r="J49" s="6"/>
      <c r="K49" s="6"/>
      <c r="L49" s="6"/>
      <c r="M49" s="66">
        <f>SUM(M6:M48)</f>
        <v>9742470</v>
      </c>
      <c r="N49" s="319"/>
      <c r="O49" s="66">
        <f>SUM(O6:O48)</f>
        <v>9884280</v>
      </c>
    </row>
    <row r="50" spans="1:15" s="3" customFormat="1" x14ac:dyDescent="0.25">
      <c r="A50" s="29"/>
      <c r="B50" s="29"/>
      <c r="C50" s="15"/>
      <c r="D50" s="29"/>
      <c r="E50" s="206"/>
      <c r="F50" s="206"/>
      <c r="G50" s="34"/>
      <c r="H50" s="116"/>
      <c r="I50" s="19"/>
      <c r="J50" s="19"/>
      <c r="K50" s="19"/>
      <c r="L50" s="19"/>
      <c r="M50" s="19"/>
      <c r="N50"/>
      <c r="O50"/>
    </row>
    <row r="51" spans="1:15" s="3" customFormat="1" x14ac:dyDescent="0.25">
      <c r="A51" s="29"/>
      <c r="B51" s="29"/>
      <c r="C51" s="15"/>
      <c r="D51" s="29"/>
      <c r="E51" s="206"/>
      <c r="F51" s="206"/>
      <c r="G51" s="34"/>
      <c r="H51" s="33"/>
      <c r="I51" s="19"/>
      <c r="J51" s="19"/>
      <c r="K51" s="19"/>
      <c r="L51" s="19"/>
      <c r="M51" s="19"/>
      <c r="N51"/>
      <c r="O51"/>
    </row>
    <row r="52" spans="1:15" s="3" customFormat="1" x14ac:dyDescent="0.25">
      <c r="A52" s="29"/>
      <c r="B52" s="29"/>
      <c r="C52" s="15"/>
      <c r="D52" s="29"/>
      <c r="E52" s="206"/>
      <c r="F52" s="206"/>
      <c r="G52" s="34"/>
      <c r="H52" s="116"/>
      <c r="I52" s="19"/>
      <c r="J52" s="19"/>
      <c r="K52" s="19"/>
      <c r="L52" s="19"/>
      <c r="M52" s="19"/>
      <c r="N52"/>
      <c r="O52"/>
    </row>
    <row r="53" spans="1:15" s="3" customFormat="1" x14ac:dyDescent="0.25">
      <c r="A53" s="29"/>
      <c r="B53" s="29"/>
      <c r="C53" s="15"/>
      <c r="D53" s="29"/>
      <c r="E53" s="206"/>
      <c r="F53" s="206"/>
      <c r="G53" s="34"/>
      <c r="H53" s="116"/>
      <c r="I53" s="19"/>
      <c r="J53" s="19"/>
      <c r="K53" s="19"/>
      <c r="L53" s="19"/>
      <c r="M53" s="19"/>
      <c r="N53"/>
      <c r="O53"/>
    </row>
    <row r="54" spans="1:15" s="3" customFormat="1" x14ac:dyDescent="0.25">
      <c r="A54" s="29"/>
      <c r="B54" s="29"/>
      <c r="C54" s="15"/>
      <c r="D54" s="29"/>
      <c r="E54" s="206"/>
      <c r="F54" s="206"/>
      <c r="G54" s="34"/>
      <c r="H54" s="116"/>
      <c r="I54" s="19"/>
      <c r="J54" s="19"/>
      <c r="K54" s="19"/>
      <c r="L54" s="19"/>
      <c r="M54" s="19"/>
      <c r="N54"/>
      <c r="O54"/>
    </row>
    <row r="55" spans="1:15" s="3" customFormat="1" x14ac:dyDescent="0.25">
      <c r="A55" s="29"/>
      <c r="B55" s="29"/>
      <c r="C55" s="15"/>
      <c r="D55" s="29"/>
      <c r="E55" s="206"/>
      <c r="F55" s="206"/>
      <c r="G55" s="34"/>
      <c r="H55" s="116"/>
      <c r="I55" s="19"/>
      <c r="J55" s="19"/>
      <c r="K55" s="19"/>
      <c r="L55" s="19"/>
      <c r="M55" s="19"/>
      <c r="N55"/>
      <c r="O55"/>
    </row>
    <row r="56" spans="1:15" s="3" customFormat="1" x14ac:dyDescent="0.25">
      <c r="A56" s="29"/>
      <c r="B56" s="29"/>
      <c r="C56" s="15"/>
      <c r="D56" s="29"/>
      <c r="E56" s="206"/>
      <c r="F56" s="206"/>
      <c r="G56" s="34"/>
      <c r="H56" s="116"/>
      <c r="I56" s="19"/>
      <c r="J56" s="19"/>
      <c r="K56" s="19"/>
      <c r="L56" s="19"/>
      <c r="M56" s="19"/>
      <c r="N56"/>
      <c r="O56"/>
    </row>
    <row r="57" spans="1:15" s="3" customFormat="1" x14ac:dyDescent="0.25">
      <c r="A57" s="29"/>
      <c r="B57" s="29"/>
      <c r="C57" s="15"/>
      <c r="D57" s="29"/>
      <c r="E57" s="206"/>
      <c r="F57" s="206"/>
      <c r="G57" s="34"/>
      <c r="H57" s="116"/>
      <c r="I57" s="19"/>
      <c r="J57" s="19"/>
      <c r="K57" s="19"/>
      <c r="L57" s="19"/>
      <c r="M57" s="19"/>
      <c r="N57"/>
      <c r="O57"/>
    </row>
    <row r="58" spans="1:15" s="3" customFormat="1" x14ac:dyDescent="0.25">
      <c r="A58" s="29"/>
      <c r="B58" s="29"/>
      <c r="C58" s="15"/>
      <c r="D58" s="29"/>
      <c r="E58" s="206"/>
      <c r="F58" s="206"/>
      <c r="G58" s="34"/>
      <c r="H58" s="116"/>
      <c r="I58" s="19"/>
      <c r="J58" s="19"/>
      <c r="K58" s="19"/>
      <c r="L58" s="19"/>
      <c r="M58" s="19"/>
      <c r="N58"/>
      <c r="O58"/>
    </row>
    <row r="59" spans="1:15" s="3" customFormat="1" x14ac:dyDescent="0.25">
      <c r="A59" s="29"/>
      <c r="B59" s="29"/>
      <c r="C59" s="15"/>
      <c r="D59" s="29"/>
      <c r="E59" s="206"/>
      <c r="F59" s="206"/>
      <c r="G59" s="34"/>
      <c r="H59" s="116"/>
      <c r="I59" s="19"/>
      <c r="J59" s="19"/>
      <c r="K59" s="19"/>
      <c r="L59" s="19"/>
      <c r="M59" s="19"/>
      <c r="N59"/>
      <c r="O59"/>
    </row>
    <row r="60" spans="1:15" s="3" customFormat="1" x14ac:dyDescent="0.25">
      <c r="A60" s="29"/>
      <c r="B60" s="29"/>
      <c r="C60" s="15"/>
      <c r="D60" s="29"/>
      <c r="E60" s="206"/>
      <c r="F60" s="206"/>
      <c r="G60" s="34"/>
      <c r="H60" s="116"/>
      <c r="I60" s="19"/>
      <c r="J60" s="19"/>
      <c r="K60" s="19"/>
      <c r="L60" s="19"/>
      <c r="M60" s="19"/>
      <c r="N60"/>
      <c r="O60"/>
    </row>
    <row r="61" spans="1:15" s="3" customFormat="1" x14ac:dyDescent="0.25">
      <c r="A61" s="29"/>
      <c r="B61" s="29"/>
      <c r="C61" s="15"/>
      <c r="D61" s="29"/>
      <c r="E61" s="206"/>
      <c r="F61" s="206"/>
      <c r="G61" s="34"/>
      <c r="H61" s="116"/>
      <c r="I61" s="19"/>
      <c r="J61" s="19"/>
      <c r="K61" s="19"/>
      <c r="L61" s="19"/>
      <c r="M61" s="19"/>
      <c r="N61"/>
      <c r="O61"/>
    </row>
    <row r="62" spans="1:15" s="3" customFormat="1" x14ac:dyDescent="0.25">
      <c r="A62" s="29"/>
      <c r="B62" s="29"/>
      <c r="C62" s="15"/>
      <c r="D62" s="29"/>
      <c r="E62" s="206"/>
      <c r="F62" s="206"/>
      <c r="G62" s="34"/>
      <c r="H62" s="116"/>
      <c r="I62" s="19"/>
      <c r="J62" s="19"/>
      <c r="K62" s="19"/>
      <c r="L62" s="19"/>
      <c r="M62" s="19"/>
      <c r="N62"/>
      <c r="O62"/>
    </row>
    <row r="63" spans="1:15" s="3" customFormat="1" x14ac:dyDescent="0.25">
      <c r="A63" s="29"/>
      <c r="B63" s="29"/>
      <c r="C63" s="15"/>
      <c r="D63" s="29"/>
      <c r="E63" s="206"/>
      <c r="F63" s="206"/>
      <c r="G63" s="34"/>
      <c r="H63" s="116"/>
      <c r="I63" s="19"/>
      <c r="J63" s="19"/>
      <c r="K63" s="19"/>
      <c r="L63" s="19"/>
      <c r="M63" s="19"/>
      <c r="N63"/>
      <c r="O63"/>
    </row>
    <row r="64" spans="1:15" s="3" customFormat="1" x14ac:dyDescent="0.25">
      <c r="A64" s="29"/>
      <c r="B64" s="29"/>
      <c r="C64" s="15"/>
      <c r="D64" s="29"/>
      <c r="E64" s="206"/>
      <c r="F64" s="206"/>
      <c r="G64" s="34"/>
      <c r="H64" s="116"/>
      <c r="I64" s="19"/>
      <c r="J64" s="19"/>
      <c r="K64" s="19"/>
      <c r="L64" s="19"/>
      <c r="M64" s="19"/>
      <c r="N64"/>
      <c r="O64"/>
    </row>
    <row r="65" spans="1:15" s="3" customFormat="1" x14ac:dyDescent="0.25">
      <c r="A65" s="29"/>
      <c r="B65" s="29"/>
      <c r="C65" s="15"/>
      <c r="D65" s="29"/>
      <c r="E65" s="206"/>
      <c r="F65" s="206"/>
      <c r="G65" s="34"/>
      <c r="H65" s="116"/>
      <c r="I65" s="19"/>
      <c r="J65" s="19"/>
      <c r="K65" s="19"/>
      <c r="L65" s="19"/>
      <c r="M65" s="19"/>
      <c r="N65"/>
      <c r="O65"/>
    </row>
    <row r="66" spans="1:15" s="3" customFormat="1" x14ac:dyDescent="0.25">
      <c r="A66" s="29"/>
      <c r="B66" s="29"/>
      <c r="C66" s="15"/>
      <c r="D66" s="29"/>
      <c r="E66" s="206"/>
      <c r="F66" s="206"/>
      <c r="G66" s="34"/>
      <c r="H66" s="116"/>
      <c r="I66" s="19"/>
      <c r="J66" s="19"/>
      <c r="K66" s="19"/>
      <c r="L66" s="19"/>
      <c r="M66" s="19"/>
      <c r="N66"/>
      <c r="O66"/>
    </row>
    <row r="67" spans="1:15" s="3" customFormat="1" x14ac:dyDescent="0.25">
      <c r="A67" s="29"/>
      <c r="B67" s="29"/>
      <c r="C67" s="15"/>
      <c r="D67" s="29"/>
      <c r="E67" s="206"/>
      <c r="F67" s="206"/>
      <c r="G67" s="34"/>
      <c r="H67" s="116"/>
      <c r="I67" s="19"/>
      <c r="J67" s="19"/>
      <c r="K67" s="19"/>
      <c r="L67" s="19"/>
      <c r="M67" s="19"/>
      <c r="N67"/>
      <c r="O67"/>
    </row>
    <row r="68" spans="1:15" s="4" customFormat="1" ht="20.25" x14ac:dyDescent="0.3">
      <c r="A68" s="29"/>
      <c r="B68" s="29"/>
      <c r="C68" s="15"/>
      <c r="D68" s="29"/>
      <c r="E68" s="206"/>
      <c r="F68" s="206"/>
      <c r="G68" s="34"/>
      <c r="H68" s="116"/>
      <c r="I68" s="19"/>
      <c r="J68" s="19"/>
      <c r="K68" s="19"/>
      <c r="L68" s="19"/>
      <c r="M68" s="19"/>
      <c r="N68"/>
      <c r="O68"/>
    </row>
  </sheetData>
  <mergeCells count="8">
    <mergeCell ref="A49:F49"/>
    <mergeCell ref="A1:O1"/>
    <mergeCell ref="A4:A5"/>
    <mergeCell ref="B4:B5"/>
    <mergeCell ref="C4:C5"/>
    <mergeCell ref="I4:J4"/>
    <mergeCell ref="K4:L4"/>
    <mergeCell ref="F4:F5"/>
  </mergeCells>
  <hyperlinks>
    <hyperlink ref="C18" location="'0711'!A1" display="104274230541(211520711)"/>
    <hyperlink ref="C15" location="'6811'!A1" display="104269392951(BCU0106811)"/>
    <hyperlink ref="C17" location="'092L'!A1" display="104272500031(20989092L)"/>
    <hyperlink ref="C10" location="'1026'!A1" display="104259623901(HLCUDK1210701026)"/>
  </hyperlinks>
  <pageMargins left="0.7" right="0.7" top="0.75" bottom="0.75" header="0.3" footer="0.3"/>
  <pageSetup scale="5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B0F0"/>
    <pageSetUpPr fitToPage="1"/>
  </sheetPr>
  <dimension ref="A1:O64"/>
  <sheetViews>
    <sheetView showGridLines="0" topLeftCell="A4" workbookViewId="0">
      <pane xSplit="3" ySplit="2" topLeftCell="D30" activePane="bottomRight" state="frozen"/>
      <selection activeCell="J19" sqref="J19"/>
      <selection pane="topRight" activeCell="J19" sqref="J19"/>
      <selection pane="bottomLeft" activeCell="J19" sqref="J19"/>
      <selection pane="bottomRight" activeCell="H37" sqref="H37"/>
    </sheetView>
  </sheetViews>
  <sheetFormatPr defaultRowHeight="15.75" x14ac:dyDescent="0.25"/>
  <cols>
    <col min="1" max="1" width="4.7109375" style="29" customWidth="1"/>
    <col min="2" max="2" width="11.7109375" style="29" customWidth="1"/>
    <col min="3" max="3" width="39.85546875" style="15" customWidth="1"/>
    <col min="4" max="4" width="6.140625" style="15" customWidth="1"/>
    <col min="5" max="5" width="16.85546875" customWidth="1"/>
    <col min="6" max="6" width="7.140625" style="206" customWidth="1"/>
    <col min="7" max="7" width="16.28515625" style="34" customWidth="1"/>
    <col min="8" max="8" width="17.7109375" style="116" customWidth="1"/>
    <col min="9" max="9" width="8.85546875" style="19" customWidth="1"/>
    <col min="10" max="10" width="9.85546875" style="19" customWidth="1"/>
    <col min="11" max="11" width="9.28515625" style="19" customWidth="1"/>
    <col min="12" max="12" width="13.140625" style="19" customWidth="1"/>
    <col min="13" max="13" width="15.85546875" style="19" customWidth="1"/>
    <col min="14" max="14" width="17.140625" style="527" customWidth="1"/>
    <col min="15" max="15" width="16" customWidth="1"/>
  </cols>
  <sheetData>
    <row r="1" spans="1:15" ht="34.5" x14ac:dyDescent="0.45">
      <c r="A1" s="745" t="s">
        <v>63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1:15" ht="17.25" x14ac:dyDescent="0.3">
      <c r="L2" s="75" t="s">
        <v>62</v>
      </c>
      <c r="M2" s="76">
        <f ca="1">TODAY()</f>
        <v>44848</v>
      </c>
    </row>
    <row r="3" spans="1:15" s="52" customFormat="1" x14ac:dyDescent="0.25">
      <c r="A3" s="45"/>
      <c r="B3" s="45"/>
      <c r="C3" s="46"/>
      <c r="D3" s="46"/>
      <c r="E3" s="44" t="s">
        <v>43</v>
      </c>
      <c r="F3" s="294"/>
      <c r="G3" s="324"/>
      <c r="H3" s="48" t="s">
        <v>111</v>
      </c>
      <c r="I3" s="49" t="s">
        <v>110</v>
      </c>
      <c r="J3" s="50"/>
      <c r="K3" s="49"/>
      <c r="L3" s="51"/>
      <c r="N3" s="528"/>
    </row>
    <row r="4" spans="1:15" s="1" customFormat="1" ht="51" customHeight="1" x14ac:dyDescent="0.3">
      <c r="A4" s="746" t="s">
        <v>0</v>
      </c>
      <c r="B4" s="750" t="s">
        <v>37</v>
      </c>
      <c r="C4" s="750" t="s">
        <v>39</v>
      </c>
      <c r="D4" s="534" t="s">
        <v>64</v>
      </c>
      <c r="E4" s="36" t="s">
        <v>3</v>
      </c>
      <c r="F4" s="292" t="s">
        <v>4</v>
      </c>
      <c r="G4" s="308" t="s">
        <v>743</v>
      </c>
      <c r="H4" s="135" t="s">
        <v>6</v>
      </c>
      <c r="I4" s="752" t="s">
        <v>7</v>
      </c>
      <c r="J4" s="753"/>
      <c r="K4" s="752" t="s">
        <v>8</v>
      </c>
      <c r="L4" s="753"/>
      <c r="M4" s="137" t="s">
        <v>55</v>
      </c>
      <c r="N4" s="529" t="s">
        <v>1</v>
      </c>
      <c r="O4" s="62" t="s">
        <v>9</v>
      </c>
    </row>
    <row r="5" spans="1:15" s="1" customFormat="1" ht="18.75" customHeight="1" x14ac:dyDescent="0.25">
      <c r="A5" s="747"/>
      <c r="B5" s="751"/>
      <c r="C5" s="751"/>
      <c r="D5" s="138"/>
      <c r="E5" s="37"/>
      <c r="F5" s="293"/>
      <c r="G5" s="325" t="s">
        <v>13</v>
      </c>
      <c r="H5" s="21" t="s">
        <v>13</v>
      </c>
      <c r="I5" s="21" t="s">
        <v>51</v>
      </c>
      <c r="J5" s="21" t="s">
        <v>53</v>
      </c>
      <c r="K5" s="21" t="s">
        <v>51</v>
      </c>
      <c r="L5" s="21" t="s">
        <v>52</v>
      </c>
      <c r="M5" s="21" t="s">
        <v>13</v>
      </c>
      <c r="N5" s="530"/>
      <c r="O5" s="64" t="s">
        <v>13</v>
      </c>
    </row>
    <row r="6" spans="1:15" s="12" customFormat="1" x14ac:dyDescent="0.25">
      <c r="A6" s="28" t="s">
        <v>32</v>
      </c>
      <c r="B6" s="179" t="s">
        <v>299</v>
      </c>
      <c r="C6" s="371" t="s">
        <v>305</v>
      </c>
      <c r="D6" s="645" t="s">
        <v>74</v>
      </c>
      <c r="E6" s="650" t="s">
        <v>54</v>
      </c>
      <c r="F6" s="650" t="s">
        <v>10</v>
      </c>
      <c r="G6" s="332"/>
      <c r="H6" s="32">
        <f>54550+26180+54130+109770+81740+137440+132470+108790+28220</f>
        <v>733290</v>
      </c>
      <c r="I6" s="108"/>
      <c r="J6" s="33"/>
      <c r="K6" s="33"/>
      <c r="L6" s="53">
        <f>'9011'!H21</f>
        <v>105640</v>
      </c>
      <c r="M6" s="14">
        <f t="shared" ref="M6:M43" si="0">+H6+J6-L6</f>
        <v>627650</v>
      </c>
      <c r="N6" s="315" t="s">
        <v>311</v>
      </c>
      <c r="O6" s="65">
        <f>H6+I6-K6</f>
        <v>733290</v>
      </c>
    </row>
    <row r="7" spans="1:15" s="12" customFormat="1" x14ac:dyDescent="0.25">
      <c r="A7" s="28" t="s">
        <v>33</v>
      </c>
      <c r="B7" s="31" t="s">
        <v>304</v>
      </c>
      <c r="C7" s="20" t="s">
        <v>303</v>
      </c>
      <c r="D7" s="645" t="s">
        <v>74</v>
      </c>
      <c r="E7" s="649" t="s">
        <v>54</v>
      </c>
      <c r="F7" s="649" t="s">
        <v>10</v>
      </c>
      <c r="G7" s="333"/>
      <c r="H7" s="32">
        <f>54000+130610</f>
        <v>184610</v>
      </c>
      <c r="I7" s="25"/>
      <c r="J7" s="14"/>
      <c r="K7" s="5"/>
      <c r="L7" s="5"/>
      <c r="M7" s="14">
        <f t="shared" si="0"/>
        <v>184610</v>
      </c>
      <c r="N7" s="315"/>
      <c r="O7" s="65">
        <f t="shared" ref="O7:O23" si="1">+H7+I7-K7</f>
        <v>184610</v>
      </c>
    </row>
    <row r="8" spans="1:15" s="12" customFormat="1" x14ac:dyDescent="0.25">
      <c r="A8" s="28" t="s">
        <v>34</v>
      </c>
      <c r="B8" s="31" t="s">
        <v>357</v>
      </c>
      <c r="C8" s="20" t="s">
        <v>358</v>
      </c>
      <c r="D8" s="645" t="s">
        <v>67</v>
      </c>
      <c r="E8" s="649" t="s">
        <v>54</v>
      </c>
      <c r="F8" s="649" t="s">
        <v>10</v>
      </c>
      <c r="G8" s="333"/>
      <c r="H8" s="32">
        <f>156420+52320</f>
        <v>208740</v>
      </c>
      <c r="I8" s="25"/>
      <c r="J8" s="14"/>
      <c r="K8" s="5"/>
      <c r="L8" s="5"/>
      <c r="M8" s="14">
        <f t="shared" si="0"/>
        <v>208740</v>
      </c>
      <c r="N8" s="315"/>
      <c r="O8" s="65">
        <f t="shared" si="1"/>
        <v>208740</v>
      </c>
    </row>
    <row r="9" spans="1:15" s="12" customFormat="1" x14ac:dyDescent="0.25">
      <c r="A9" s="28" t="s">
        <v>35</v>
      </c>
      <c r="B9" s="31" t="s">
        <v>359</v>
      </c>
      <c r="C9" s="20" t="s">
        <v>360</v>
      </c>
      <c r="D9" s="645" t="s">
        <v>74</v>
      </c>
      <c r="E9" s="649" t="s">
        <v>54</v>
      </c>
      <c r="F9" s="649" t="s">
        <v>10</v>
      </c>
      <c r="G9" s="334"/>
      <c r="H9" s="32">
        <f>78230+156690+52860</f>
        <v>287780</v>
      </c>
      <c r="I9" s="25"/>
      <c r="J9" s="14"/>
      <c r="K9" s="5"/>
      <c r="L9" s="5"/>
      <c r="M9" s="14">
        <f t="shared" si="0"/>
        <v>287780</v>
      </c>
      <c r="N9" s="315"/>
      <c r="O9" s="65">
        <f t="shared" si="1"/>
        <v>287780</v>
      </c>
    </row>
    <row r="10" spans="1:15" s="12" customFormat="1" x14ac:dyDescent="0.25">
      <c r="A10" s="28" t="s">
        <v>36</v>
      </c>
      <c r="B10" s="31" t="s">
        <v>362</v>
      </c>
      <c r="C10" s="20" t="s">
        <v>361</v>
      </c>
      <c r="D10" s="645" t="s">
        <v>74</v>
      </c>
      <c r="E10" s="649" t="s">
        <v>54</v>
      </c>
      <c r="F10" s="649" t="s">
        <v>10</v>
      </c>
      <c r="G10" s="334"/>
      <c r="H10" s="32">
        <v>82940</v>
      </c>
      <c r="I10" s="25"/>
      <c r="J10" s="14"/>
      <c r="K10" s="5"/>
      <c r="L10" s="5"/>
      <c r="M10" s="14">
        <f t="shared" si="0"/>
        <v>82940</v>
      </c>
      <c r="N10" s="315" t="s">
        <v>204</v>
      </c>
      <c r="O10" s="65">
        <f t="shared" si="1"/>
        <v>82940</v>
      </c>
    </row>
    <row r="11" spans="1:15" s="12" customFormat="1" x14ac:dyDescent="0.25">
      <c r="A11" s="28" t="s">
        <v>17</v>
      </c>
      <c r="B11" s="31" t="s">
        <v>431</v>
      </c>
      <c r="C11" s="20" t="s">
        <v>432</v>
      </c>
      <c r="D11" s="645" t="s">
        <v>183</v>
      </c>
      <c r="E11" s="649" t="s">
        <v>54</v>
      </c>
      <c r="F11" s="649" t="s">
        <v>10</v>
      </c>
      <c r="G11" s="334"/>
      <c r="H11" s="32">
        <v>72820</v>
      </c>
      <c r="I11" s="25"/>
      <c r="J11" s="14"/>
      <c r="K11" s="5"/>
      <c r="L11" s="5"/>
      <c r="M11" s="14">
        <f t="shared" si="0"/>
        <v>72820</v>
      </c>
      <c r="N11" s="315"/>
      <c r="O11" s="65">
        <f t="shared" si="1"/>
        <v>72820</v>
      </c>
    </row>
    <row r="12" spans="1:15" s="12" customFormat="1" x14ac:dyDescent="0.25">
      <c r="A12" s="28" t="s">
        <v>18</v>
      </c>
      <c r="B12" s="31" t="s">
        <v>446</v>
      </c>
      <c r="C12" s="87" t="s">
        <v>440</v>
      </c>
      <c r="D12" s="645" t="s">
        <v>67</v>
      </c>
      <c r="E12" s="649" t="s">
        <v>54</v>
      </c>
      <c r="F12" s="649" t="s">
        <v>10</v>
      </c>
      <c r="G12" s="334"/>
      <c r="H12" s="32">
        <f>167520+220310+304030+243970+195680</f>
        <v>1131510</v>
      </c>
      <c r="I12" s="25"/>
      <c r="J12" s="14"/>
      <c r="K12" s="5"/>
      <c r="L12" s="201">
        <f>'1770'!H14</f>
        <v>1099840</v>
      </c>
      <c r="M12" s="14">
        <f t="shared" si="0"/>
        <v>31670</v>
      </c>
      <c r="N12" s="315" t="s">
        <v>441</v>
      </c>
      <c r="O12" s="65">
        <f t="shared" si="1"/>
        <v>1131510</v>
      </c>
    </row>
    <row r="13" spans="1:15" s="12" customFormat="1" x14ac:dyDescent="0.25">
      <c r="A13" s="28" t="s">
        <v>19</v>
      </c>
      <c r="B13" s="31" t="s">
        <v>453</v>
      </c>
      <c r="C13" s="20" t="s">
        <v>452</v>
      </c>
      <c r="D13" s="645" t="s">
        <v>183</v>
      </c>
      <c r="E13" s="649" t="s">
        <v>54</v>
      </c>
      <c r="F13" s="649" t="s">
        <v>10</v>
      </c>
      <c r="G13" s="334"/>
      <c r="H13" s="32">
        <f>73560+123410+147420+98890</f>
        <v>443280</v>
      </c>
      <c r="I13" s="25"/>
      <c r="J13" s="14"/>
      <c r="K13" s="5"/>
      <c r="L13" s="5"/>
      <c r="M13" s="14">
        <f t="shared" si="0"/>
        <v>443280</v>
      </c>
      <c r="N13" s="315" t="s">
        <v>214</v>
      </c>
      <c r="O13" s="65">
        <f t="shared" si="1"/>
        <v>443280</v>
      </c>
    </row>
    <row r="14" spans="1:15" s="12" customFormat="1" x14ac:dyDescent="0.25">
      <c r="A14" s="28" t="s">
        <v>20</v>
      </c>
      <c r="B14" s="179" t="s">
        <v>453</v>
      </c>
      <c r="C14" s="20" t="s">
        <v>454</v>
      </c>
      <c r="D14" s="645" t="s">
        <v>183</v>
      </c>
      <c r="E14" s="649" t="s">
        <v>54</v>
      </c>
      <c r="F14" s="649" t="s">
        <v>10</v>
      </c>
      <c r="G14" s="334"/>
      <c r="H14" s="32">
        <f>74750+151680+102480+128000+52190</f>
        <v>509100</v>
      </c>
      <c r="I14" s="25"/>
      <c r="J14" s="14"/>
      <c r="K14" s="5"/>
      <c r="L14" s="5"/>
      <c r="M14" s="14">
        <f t="shared" si="0"/>
        <v>509100</v>
      </c>
      <c r="N14" s="315" t="s">
        <v>12</v>
      </c>
      <c r="O14" s="65">
        <f t="shared" si="1"/>
        <v>509100</v>
      </c>
    </row>
    <row r="15" spans="1:15" s="12" customFormat="1" x14ac:dyDescent="0.25">
      <c r="A15" s="28" t="s">
        <v>387</v>
      </c>
      <c r="B15" s="31" t="s">
        <v>455</v>
      </c>
      <c r="C15" s="20" t="s">
        <v>456</v>
      </c>
      <c r="D15" s="645" t="s">
        <v>183</v>
      </c>
      <c r="E15" s="649" t="s">
        <v>54</v>
      </c>
      <c r="F15" s="649" t="s">
        <v>10</v>
      </c>
      <c r="G15" s="334"/>
      <c r="H15" s="32">
        <v>49470</v>
      </c>
      <c r="I15" s="25"/>
      <c r="J15" s="14"/>
      <c r="K15" s="5"/>
      <c r="L15" s="5"/>
      <c r="M15" s="14">
        <f t="shared" si="0"/>
        <v>49470</v>
      </c>
      <c r="N15" s="315" t="s">
        <v>344</v>
      </c>
      <c r="O15" s="65">
        <f t="shared" si="1"/>
        <v>49470</v>
      </c>
    </row>
    <row r="16" spans="1:15" s="12" customFormat="1" x14ac:dyDescent="0.25">
      <c r="A16" s="28" t="s">
        <v>21</v>
      </c>
      <c r="B16" s="31" t="s">
        <v>458</v>
      </c>
      <c r="C16" s="369" t="s">
        <v>459</v>
      </c>
      <c r="D16" s="645" t="s">
        <v>183</v>
      </c>
      <c r="E16" s="649" t="s">
        <v>54</v>
      </c>
      <c r="F16" s="649" t="s">
        <v>10</v>
      </c>
      <c r="G16" s="334"/>
      <c r="H16" s="32">
        <f>77320+100970</f>
        <v>178290</v>
      </c>
      <c r="I16" s="25"/>
      <c r="J16" s="14"/>
      <c r="K16" s="5"/>
      <c r="L16" s="201">
        <f>'035G'!H16</f>
        <v>173860</v>
      </c>
      <c r="M16" s="14">
        <f t="shared" si="0"/>
        <v>4430</v>
      </c>
      <c r="N16" s="315" t="s">
        <v>185</v>
      </c>
      <c r="O16" s="65">
        <f t="shared" si="1"/>
        <v>178290</v>
      </c>
    </row>
    <row r="17" spans="1:15" s="12" customFormat="1" x14ac:dyDescent="0.25">
      <c r="A17" s="28" t="s">
        <v>422</v>
      </c>
      <c r="B17" s="31" t="s">
        <v>464</v>
      </c>
      <c r="C17" s="20" t="s">
        <v>467</v>
      </c>
      <c r="D17" s="645" t="s">
        <v>183</v>
      </c>
      <c r="E17" s="649" t="s">
        <v>54</v>
      </c>
      <c r="F17" s="649" t="s">
        <v>10</v>
      </c>
      <c r="G17" s="334"/>
      <c r="H17" s="32">
        <f>126620+127770+152180+26330</f>
        <v>432900</v>
      </c>
      <c r="I17" s="25"/>
      <c r="J17" s="14"/>
      <c r="K17" s="5"/>
      <c r="L17" s="5"/>
      <c r="M17" s="14">
        <f t="shared" si="0"/>
        <v>432900</v>
      </c>
      <c r="N17" s="315" t="s">
        <v>364</v>
      </c>
      <c r="O17" s="65">
        <f t="shared" si="1"/>
        <v>432900</v>
      </c>
    </row>
    <row r="18" spans="1:15" s="3" customFormat="1" x14ac:dyDescent="0.25">
      <c r="A18" s="28" t="s">
        <v>423</v>
      </c>
      <c r="B18" s="31" t="s">
        <v>475</v>
      </c>
      <c r="C18" s="87" t="s">
        <v>476</v>
      </c>
      <c r="D18" s="645" t="s">
        <v>67</v>
      </c>
      <c r="E18" s="649" t="s">
        <v>54</v>
      </c>
      <c r="F18" s="649" t="s">
        <v>10</v>
      </c>
      <c r="G18" s="334"/>
      <c r="H18" s="32">
        <f>49760+100290+133030+82770+131310+98930</f>
        <v>596090</v>
      </c>
      <c r="I18" s="25"/>
      <c r="J18" s="14"/>
      <c r="K18" s="5"/>
      <c r="L18" s="201">
        <f>'9527'!H19</f>
        <v>571230</v>
      </c>
      <c r="M18" s="14">
        <f t="shared" si="0"/>
        <v>24860</v>
      </c>
      <c r="N18" s="315" t="s">
        <v>477</v>
      </c>
      <c r="O18" s="65">
        <f t="shared" si="1"/>
        <v>596090</v>
      </c>
    </row>
    <row r="19" spans="1:15" s="3" customFormat="1" x14ac:dyDescent="0.25">
      <c r="A19" s="28" t="s">
        <v>424</v>
      </c>
      <c r="B19" s="179" t="s">
        <v>494</v>
      </c>
      <c r="C19" s="20" t="s">
        <v>497</v>
      </c>
      <c r="D19" s="645" t="s">
        <v>74</v>
      </c>
      <c r="E19" s="649" t="s">
        <v>54</v>
      </c>
      <c r="F19" s="649" t="s">
        <v>10</v>
      </c>
      <c r="G19" s="334"/>
      <c r="H19" s="32">
        <v>102710</v>
      </c>
      <c r="I19" s="25"/>
      <c r="J19" s="14"/>
      <c r="K19" s="5"/>
      <c r="L19" s="5"/>
      <c r="M19" s="14">
        <f t="shared" si="0"/>
        <v>102710</v>
      </c>
      <c r="N19" s="315" t="s">
        <v>329</v>
      </c>
      <c r="O19" s="65">
        <f t="shared" si="1"/>
        <v>102710</v>
      </c>
    </row>
    <row r="20" spans="1:15" s="3" customFormat="1" x14ac:dyDescent="0.25">
      <c r="A20" s="28" t="s">
        <v>22</v>
      </c>
      <c r="B20" s="31" t="s">
        <v>507</v>
      </c>
      <c r="C20" s="20" t="s">
        <v>511</v>
      </c>
      <c r="D20" s="645" t="s">
        <v>183</v>
      </c>
      <c r="E20" s="649" t="s">
        <v>54</v>
      </c>
      <c r="F20" s="649" t="s">
        <v>10</v>
      </c>
      <c r="G20" s="334"/>
      <c r="H20" s="32">
        <f>124330+47690</f>
        <v>172020</v>
      </c>
      <c r="I20" s="25"/>
      <c r="J20" s="14"/>
      <c r="K20" s="5"/>
      <c r="L20" s="5"/>
      <c r="M20" s="14">
        <f t="shared" si="0"/>
        <v>172020</v>
      </c>
      <c r="N20" s="315" t="s">
        <v>185</v>
      </c>
      <c r="O20" s="65">
        <f t="shared" si="1"/>
        <v>172020</v>
      </c>
    </row>
    <row r="21" spans="1:15" s="3" customFormat="1" x14ac:dyDescent="0.25">
      <c r="A21" s="28" t="s">
        <v>425</v>
      </c>
      <c r="B21" s="31" t="s">
        <v>522</v>
      </c>
      <c r="C21" s="20" t="s">
        <v>529</v>
      </c>
      <c r="D21" s="645" t="s">
        <v>186</v>
      </c>
      <c r="E21" s="649" t="s">
        <v>54</v>
      </c>
      <c r="F21" s="649" t="s">
        <v>10</v>
      </c>
      <c r="G21" s="334"/>
      <c r="H21" s="32">
        <f>76030+154390+150980+50990</f>
        <v>432390</v>
      </c>
      <c r="I21" s="25"/>
      <c r="J21" s="14"/>
      <c r="K21" s="5"/>
      <c r="L21" s="5"/>
      <c r="M21" s="14">
        <f t="shared" si="0"/>
        <v>432390</v>
      </c>
      <c r="N21" s="315" t="s">
        <v>364</v>
      </c>
      <c r="O21" s="65">
        <f t="shared" si="1"/>
        <v>432390</v>
      </c>
    </row>
    <row r="22" spans="1:15" s="3" customFormat="1" x14ac:dyDescent="0.25">
      <c r="A22" s="28" t="s">
        <v>426</v>
      </c>
      <c r="B22" s="31" t="s">
        <v>885</v>
      </c>
      <c r="C22" s="20" t="s">
        <v>886</v>
      </c>
      <c r="D22" s="645" t="s">
        <v>183</v>
      </c>
      <c r="E22" s="649" t="s">
        <v>54</v>
      </c>
      <c r="F22" s="649" t="s">
        <v>10</v>
      </c>
      <c r="G22" s="334">
        <v>302570</v>
      </c>
      <c r="H22" s="32">
        <f>165470+137700</f>
        <v>303170</v>
      </c>
      <c r="I22" s="25"/>
      <c r="J22" s="14"/>
      <c r="K22" s="5"/>
      <c r="L22" s="5"/>
      <c r="M22" s="14">
        <f t="shared" si="0"/>
        <v>303170</v>
      </c>
      <c r="N22" s="315" t="s">
        <v>16</v>
      </c>
      <c r="O22" s="65">
        <f t="shared" si="1"/>
        <v>303170</v>
      </c>
    </row>
    <row r="23" spans="1:15" s="3" customFormat="1" x14ac:dyDescent="0.25">
      <c r="A23" s="28" t="s">
        <v>427</v>
      </c>
      <c r="B23" s="31" t="s">
        <v>908</v>
      </c>
      <c r="C23" s="20" t="s">
        <v>909</v>
      </c>
      <c r="D23" s="645" t="s">
        <v>134</v>
      </c>
      <c r="E23" s="649" t="s">
        <v>54</v>
      </c>
      <c r="F23" s="649" t="s">
        <v>10</v>
      </c>
      <c r="G23" s="334">
        <v>449812</v>
      </c>
      <c r="H23" s="32">
        <f>337060+112450</f>
        <v>449510</v>
      </c>
      <c r="I23" s="25"/>
      <c r="J23" s="14"/>
      <c r="K23" s="5"/>
      <c r="L23" s="5"/>
      <c r="M23" s="14">
        <f t="shared" si="0"/>
        <v>449510</v>
      </c>
      <c r="N23" s="315" t="s">
        <v>317</v>
      </c>
      <c r="O23" s="65">
        <f t="shared" si="1"/>
        <v>449510</v>
      </c>
    </row>
    <row r="24" spans="1:15" s="510" customFormat="1" x14ac:dyDescent="0.25">
      <c r="A24" s="28" t="s">
        <v>23</v>
      </c>
      <c r="B24" s="500" t="s">
        <v>654</v>
      </c>
      <c r="C24" s="619" t="s">
        <v>656</v>
      </c>
      <c r="D24" s="643" t="s">
        <v>74</v>
      </c>
      <c r="E24" s="648" t="s">
        <v>54</v>
      </c>
      <c r="F24" s="648" t="s">
        <v>10</v>
      </c>
      <c r="G24" s="517"/>
      <c r="H24" s="537">
        <v>737520</v>
      </c>
      <c r="I24" s="505"/>
      <c r="J24" s="506"/>
      <c r="K24" s="507"/>
      <c r="L24" s="507"/>
      <c r="M24" s="506">
        <f t="shared" si="0"/>
        <v>737520</v>
      </c>
      <c r="N24" s="531" t="s">
        <v>947</v>
      </c>
      <c r="O24" s="509">
        <v>737520</v>
      </c>
    </row>
    <row r="25" spans="1:15" s="510" customFormat="1" x14ac:dyDescent="0.25">
      <c r="A25" s="28" t="s">
        <v>428</v>
      </c>
      <c r="B25" s="500" t="s">
        <v>614</v>
      </c>
      <c r="C25" s="619" t="s">
        <v>615</v>
      </c>
      <c r="D25" s="643" t="s">
        <v>186</v>
      </c>
      <c r="E25" s="648" t="s">
        <v>54</v>
      </c>
      <c r="F25" s="648" t="s">
        <v>10</v>
      </c>
      <c r="G25" s="517"/>
      <c r="H25" s="537">
        <v>26080</v>
      </c>
      <c r="I25" s="505"/>
      <c r="J25" s="506"/>
      <c r="K25" s="507"/>
      <c r="L25" s="507"/>
      <c r="M25" s="506">
        <f t="shared" si="0"/>
        <v>26080</v>
      </c>
      <c r="N25" s="531" t="s">
        <v>947</v>
      </c>
      <c r="O25" s="509"/>
    </row>
    <row r="26" spans="1:15" s="510" customFormat="1" x14ac:dyDescent="0.25">
      <c r="A26" s="28" t="s">
        <v>24</v>
      </c>
      <c r="B26" s="500" t="s">
        <v>405</v>
      </c>
      <c r="C26" s="630" t="s">
        <v>406</v>
      </c>
      <c r="D26" s="643" t="s">
        <v>74</v>
      </c>
      <c r="E26" s="648" t="s">
        <v>54</v>
      </c>
      <c r="F26" s="648" t="s">
        <v>10</v>
      </c>
      <c r="G26" s="504"/>
      <c r="H26" s="558">
        <f>55260+251510+168790+303230+224290+26210</f>
        <v>1029290</v>
      </c>
      <c r="I26" s="505"/>
      <c r="J26" s="506"/>
      <c r="K26" s="507"/>
      <c r="L26" s="540">
        <f>'4924'!H14</f>
        <v>235900</v>
      </c>
      <c r="M26" s="506">
        <f t="shared" si="0"/>
        <v>793390</v>
      </c>
      <c r="N26" s="531" t="s">
        <v>947</v>
      </c>
      <c r="O26" s="509">
        <f>+H26+I26-K26</f>
        <v>1029290</v>
      </c>
    </row>
    <row r="27" spans="1:15" s="510" customFormat="1" x14ac:dyDescent="0.25">
      <c r="A27" s="28" t="s">
        <v>25</v>
      </c>
      <c r="B27" s="500" t="s">
        <v>560</v>
      </c>
      <c r="C27" s="619" t="s">
        <v>565</v>
      </c>
      <c r="D27" s="643" t="s">
        <v>186</v>
      </c>
      <c r="E27" s="648" t="s">
        <v>54</v>
      </c>
      <c r="F27" s="648" t="s">
        <v>10</v>
      </c>
      <c r="G27" s="517"/>
      <c r="H27" s="537">
        <v>130720</v>
      </c>
      <c r="I27" s="505"/>
      <c r="J27" s="506"/>
      <c r="K27" s="507"/>
      <c r="L27" s="507"/>
      <c r="M27" s="506">
        <f t="shared" si="0"/>
        <v>130720</v>
      </c>
      <c r="N27" s="531" t="s">
        <v>947</v>
      </c>
      <c r="O27" s="509">
        <v>130720</v>
      </c>
    </row>
    <row r="28" spans="1:15" s="510" customFormat="1" x14ac:dyDescent="0.25">
      <c r="A28" s="28" t="s">
        <v>26</v>
      </c>
      <c r="B28" s="500" t="s">
        <v>605</v>
      </c>
      <c r="C28" s="619" t="s">
        <v>608</v>
      </c>
      <c r="D28" s="643" t="s">
        <v>67</v>
      </c>
      <c r="E28" s="648" t="s">
        <v>54</v>
      </c>
      <c r="F28" s="648" t="s">
        <v>10</v>
      </c>
      <c r="G28" s="504"/>
      <c r="H28" s="537">
        <f>26590+51640</f>
        <v>78230</v>
      </c>
      <c r="I28" s="505"/>
      <c r="J28" s="506"/>
      <c r="K28" s="507"/>
      <c r="L28" s="507"/>
      <c r="M28" s="506">
        <f t="shared" si="0"/>
        <v>78230</v>
      </c>
      <c r="N28" s="531" t="s">
        <v>947</v>
      </c>
      <c r="O28" s="509">
        <f>+H28+I28-K28</f>
        <v>78230</v>
      </c>
    </row>
    <row r="29" spans="1:15" s="510" customFormat="1" x14ac:dyDescent="0.25">
      <c r="A29" s="28" t="s">
        <v>27</v>
      </c>
      <c r="B29" s="500" t="s">
        <v>620</v>
      </c>
      <c r="C29" s="619" t="s">
        <v>624</v>
      </c>
      <c r="D29" s="643" t="s">
        <v>625</v>
      </c>
      <c r="E29" s="648" t="s">
        <v>54</v>
      </c>
      <c r="F29" s="648" t="s">
        <v>10</v>
      </c>
      <c r="G29" s="504"/>
      <c r="H29" s="537">
        <v>75870</v>
      </c>
      <c r="I29" s="505"/>
      <c r="J29" s="506"/>
      <c r="K29" s="507"/>
      <c r="L29" s="507"/>
      <c r="M29" s="506">
        <f t="shared" si="0"/>
        <v>75870</v>
      </c>
      <c r="N29" s="531" t="s">
        <v>947</v>
      </c>
      <c r="O29" s="509">
        <f>+H29+I29-K29</f>
        <v>75870</v>
      </c>
    </row>
    <row r="30" spans="1:15" s="510" customFormat="1" x14ac:dyDescent="0.25">
      <c r="A30" s="28" t="s">
        <v>28</v>
      </c>
      <c r="B30" s="500" t="s">
        <v>638</v>
      </c>
      <c r="C30" s="619" t="s">
        <v>640</v>
      </c>
      <c r="D30" s="643" t="s">
        <v>67</v>
      </c>
      <c r="E30" s="648" t="s">
        <v>54</v>
      </c>
      <c r="F30" s="648" t="s">
        <v>10</v>
      </c>
      <c r="G30" s="517"/>
      <c r="H30" s="537">
        <v>53120</v>
      </c>
      <c r="I30" s="505"/>
      <c r="J30" s="506"/>
      <c r="K30" s="507"/>
      <c r="L30" s="507"/>
      <c r="M30" s="506">
        <f t="shared" si="0"/>
        <v>53120</v>
      </c>
      <c r="N30" s="531" t="s">
        <v>947</v>
      </c>
      <c r="O30" s="509">
        <v>53120</v>
      </c>
    </row>
    <row r="31" spans="1:15" s="510" customFormat="1" x14ac:dyDescent="0.25">
      <c r="A31" s="28" t="s">
        <v>29</v>
      </c>
      <c r="B31" s="500" t="s">
        <v>724</v>
      </c>
      <c r="C31" s="619" t="s">
        <v>725</v>
      </c>
      <c r="D31" s="643" t="s">
        <v>186</v>
      </c>
      <c r="E31" s="648" t="s">
        <v>54</v>
      </c>
      <c r="F31" s="648" t="s">
        <v>10</v>
      </c>
      <c r="G31" s="517"/>
      <c r="H31" s="537">
        <v>25500</v>
      </c>
      <c r="I31" s="505"/>
      <c r="J31" s="506"/>
      <c r="K31" s="507"/>
      <c r="L31" s="507"/>
      <c r="M31" s="506">
        <f t="shared" si="0"/>
        <v>25500</v>
      </c>
      <c r="N31" s="531" t="s">
        <v>947</v>
      </c>
      <c r="O31" s="509">
        <v>25500</v>
      </c>
    </row>
    <row r="32" spans="1:15" s="510" customFormat="1" ht="18" customHeight="1" x14ac:dyDescent="0.25">
      <c r="A32" s="28" t="s">
        <v>30</v>
      </c>
      <c r="B32" s="500" t="s">
        <v>824</v>
      </c>
      <c r="C32" s="619" t="s">
        <v>825</v>
      </c>
      <c r="D32" s="643" t="s">
        <v>74</v>
      </c>
      <c r="E32" s="648" t="s">
        <v>54</v>
      </c>
      <c r="F32" s="648" t="s">
        <v>10</v>
      </c>
      <c r="G32" s="504">
        <v>248850</v>
      </c>
      <c r="H32" s="537">
        <f>126390+124620</f>
        <v>251010</v>
      </c>
      <c r="I32" s="505"/>
      <c r="J32" s="506"/>
      <c r="K32" s="507"/>
      <c r="L32" s="507"/>
      <c r="M32" s="506">
        <f t="shared" si="0"/>
        <v>251010</v>
      </c>
      <c r="N32" s="508" t="s">
        <v>40</v>
      </c>
      <c r="O32" s="509">
        <f>+H32+I32-K32</f>
        <v>251010</v>
      </c>
    </row>
    <row r="33" spans="1:15" s="510" customFormat="1" x14ac:dyDescent="0.25">
      <c r="A33" s="28" t="s">
        <v>31</v>
      </c>
      <c r="B33" s="500" t="s">
        <v>841</v>
      </c>
      <c r="C33" s="619" t="s">
        <v>840</v>
      </c>
      <c r="D33" s="643" t="s">
        <v>74</v>
      </c>
      <c r="E33" s="648" t="s">
        <v>54</v>
      </c>
      <c r="F33" s="648" t="s">
        <v>10</v>
      </c>
      <c r="G33" s="504">
        <v>25600</v>
      </c>
      <c r="H33" s="537">
        <v>25800</v>
      </c>
      <c r="I33" s="505"/>
      <c r="J33" s="506"/>
      <c r="K33" s="507"/>
      <c r="L33" s="507"/>
      <c r="M33" s="506">
        <f t="shared" si="0"/>
        <v>25800</v>
      </c>
      <c r="N33" s="508" t="s">
        <v>979</v>
      </c>
      <c r="O33" s="509">
        <f>+H33+I33-K33</f>
        <v>25800</v>
      </c>
    </row>
    <row r="34" spans="1:15" s="510" customFormat="1" x14ac:dyDescent="0.25">
      <c r="A34" s="28" t="s">
        <v>192</v>
      </c>
      <c r="B34" s="694" t="s">
        <v>1095</v>
      </c>
      <c r="C34" s="695" t="s">
        <v>1098</v>
      </c>
      <c r="D34" s="645" t="s">
        <v>134</v>
      </c>
      <c r="E34" s="649" t="s">
        <v>54</v>
      </c>
      <c r="F34" s="649" t="s">
        <v>10</v>
      </c>
      <c r="G34" s="696">
        <v>443197</v>
      </c>
      <c r="H34" s="182">
        <f>182680+157590+104820</f>
        <v>445090</v>
      </c>
      <c r="I34" s="505"/>
      <c r="J34" s="506"/>
      <c r="K34" s="507"/>
      <c r="L34" s="507"/>
      <c r="M34" s="14">
        <f t="shared" si="0"/>
        <v>445090</v>
      </c>
      <c r="N34" s="315" t="s">
        <v>364</v>
      </c>
      <c r="O34" s="509"/>
    </row>
    <row r="35" spans="1:15" s="3" customFormat="1" x14ac:dyDescent="0.25">
      <c r="A35" s="28" t="s">
        <v>193</v>
      </c>
      <c r="B35" s="31" t="s">
        <v>1127</v>
      </c>
      <c r="C35" s="20" t="s">
        <v>1130</v>
      </c>
      <c r="D35" s="645" t="s">
        <v>134</v>
      </c>
      <c r="E35" s="649" t="s">
        <v>54</v>
      </c>
      <c r="F35" s="649" t="s">
        <v>10</v>
      </c>
      <c r="G35" s="334">
        <v>425500</v>
      </c>
      <c r="H35" s="32">
        <f>185960+133380+104250</f>
        <v>423590</v>
      </c>
      <c r="I35" s="25"/>
      <c r="J35" s="14"/>
      <c r="K35" s="5"/>
      <c r="L35" s="5"/>
      <c r="M35" s="14">
        <f t="shared" si="0"/>
        <v>423590</v>
      </c>
      <c r="N35" s="315" t="s">
        <v>317</v>
      </c>
      <c r="O35" s="65" t="s">
        <v>1131</v>
      </c>
    </row>
    <row r="36" spans="1:15" s="510" customFormat="1" x14ac:dyDescent="0.25">
      <c r="A36" s="28" t="s">
        <v>194</v>
      </c>
      <c r="B36" s="694" t="s">
        <v>1133</v>
      </c>
      <c r="C36" s="695" t="s">
        <v>1134</v>
      </c>
      <c r="D36" s="718" t="s">
        <v>134</v>
      </c>
      <c r="E36" s="649" t="s">
        <v>54</v>
      </c>
      <c r="F36" s="649" t="s">
        <v>10</v>
      </c>
      <c r="G36" s="696">
        <v>158150</v>
      </c>
      <c r="H36" s="182">
        <v>159250</v>
      </c>
      <c r="I36" s="505"/>
      <c r="J36" s="506"/>
      <c r="K36" s="507"/>
      <c r="L36" s="507"/>
      <c r="M36" s="14">
        <f t="shared" si="0"/>
        <v>159250</v>
      </c>
      <c r="N36" s="719" t="s">
        <v>58</v>
      </c>
      <c r="O36" s="509"/>
    </row>
    <row r="37" spans="1:15" s="510" customFormat="1" x14ac:dyDescent="0.25">
      <c r="A37" s="28" t="s">
        <v>195</v>
      </c>
      <c r="B37" s="500"/>
      <c r="C37" s="501"/>
      <c r="D37" s="643"/>
      <c r="E37" s="649" t="s">
        <v>54</v>
      </c>
      <c r="F37" s="649" t="s">
        <v>10</v>
      </c>
      <c r="G37" s="517"/>
      <c r="H37" s="538"/>
      <c r="I37" s="505"/>
      <c r="J37" s="506"/>
      <c r="K37" s="507"/>
      <c r="L37" s="507"/>
      <c r="M37" s="14">
        <f t="shared" si="0"/>
        <v>0</v>
      </c>
      <c r="N37" s="531"/>
      <c r="O37" s="509"/>
    </row>
    <row r="38" spans="1:15" s="510" customFormat="1" x14ac:dyDescent="0.25">
      <c r="A38" s="28" t="s">
        <v>196</v>
      </c>
      <c r="B38" s="500"/>
      <c r="C38" s="501"/>
      <c r="D38" s="643"/>
      <c r="E38" s="649" t="s">
        <v>54</v>
      </c>
      <c r="F38" s="649" t="s">
        <v>10</v>
      </c>
      <c r="G38" s="517"/>
      <c r="H38" s="538"/>
      <c r="I38" s="505"/>
      <c r="J38" s="506"/>
      <c r="K38" s="507"/>
      <c r="L38" s="507"/>
      <c r="M38" s="14">
        <f t="shared" si="0"/>
        <v>0</v>
      </c>
      <c r="N38" s="531"/>
      <c r="O38" s="509"/>
    </row>
    <row r="39" spans="1:15" s="510" customFormat="1" x14ac:dyDescent="0.25">
      <c r="A39" s="28" t="s">
        <v>197</v>
      </c>
      <c r="B39" s="500"/>
      <c r="C39" s="501"/>
      <c r="D39" s="643"/>
      <c r="E39" s="649" t="s">
        <v>54</v>
      </c>
      <c r="F39" s="649" t="s">
        <v>10</v>
      </c>
      <c r="G39" s="517"/>
      <c r="H39" s="538"/>
      <c r="I39" s="505"/>
      <c r="J39" s="506"/>
      <c r="K39" s="507"/>
      <c r="L39" s="507"/>
      <c r="M39" s="14">
        <f t="shared" si="0"/>
        <v>0</v>
      </c>
      <c r="N39" s="531"/>
      <c r="O39" s="509"/>
    </row>
    <row r="40" spans="1:15" s="510" customFormat="1" x14ac:dyDescent="0.25">
      <c r="A40" s="28" t="s">
        <v>198</v>
      </c>
      <c r="B40" s="500"/>
      <c r="C40" s="501"/>
      <c r="D40" s="643"/>
      <c r="E40" s="649" t="s">
        <v>54</v>
      </c>
      <c r="F40" s="649" t="s">
        <v>10</v>
      </c>
      <c r="G40" s="517"/>
      <c r="H40" s="538"/>
      <c r="I40" s="505"/>
      <c r="J40" s="506"/>
      <c r="K40" s="507"/>
      <c r="L40" s="507"/>
      <c r="M40" s="14">
        <f t="shared" si="0"/>
        <v>0</v>
      </c>
      <c r="N40" s="531"/>
      <c r="O40" s="509"/>
    </row>
    <row r="41" spans="1:15" s="510" customFormat="1" x14ac:dyDescent="0.25">
      <c r="A41" s="28" t="s">
        <v>199</v>
      </c>
      <c r="B41" s="500"/>
      <c r="C41" s="501"/>
      <c r="D41" s="643"/>
      <c r="E41" s="649" t="s">
        <v>54</v>
      </c>
      <c r="F41" s="649" t="s">
        <v>10</v>
      </c>
      <c r="G41" s="517"/>
      <c r="H41" s="538"/>
      <c r="I41" s="505"/>
      <c r="J41" s="506"/>
      <c r="K41" s="507"/>
      <c r="L41" s="507"/>
      <c r="M41" s="14">
        <f t="shared" si="0"/>
        <v>0</v>
      </c>
      <c r="N41" s="531"/>
      <c r="O41" s="509"/>
    </row>
    <row r="42" spans="1:15" s="510" customFormat="1" x14ac:dyDescent="0.25">
      <c r="A42" s="28" t="s">
        <v>200</v>
      </c>
      <c r="B42" s="500"/>
      <c r="C42" s="501"/>
      <c r="D42" s="643"/>
      <c r="E42" s="649" t="s">
        <v>54</v>
      </c>
      <c r="F42" s="649" t="s">
        <v>10</v>
      </c>
      <c r="G42" s="517"/>
      <c r="H42" s="538"/>
      <c r="I42" s="505"/>
      <c r="J42" s="506"/>
      <c r="K42" s="507"/>
      <c r="L42" s="507"/>
      <c r="M42" s="14">
        <f t="shared" si="0"/>
        <v>0</v>
      </c>
      <c r="N42" s="531"/>
      <c r="O42" s="509"/>
    </row>
    <row r="43" spans="1:15" s="3" customFormat="1" x14ac:dyDescent="0.25">
      <c r="A43" s="28" t="s">
        <v>201</v>
      </c>
      <c r="B43" s="31"/>
      <c r="C43" s="20"/>
      <c r="D43" s="645"/>
      <c r="E43" s="649" t="s">
        <v>54</v>
      </c>
      <c r="F43" s="649" t="s">
        <v>10</v>
      </c>
      <c r="G43" s="334"/>
      <c r="H43" s="33"/>
      <c r="I43" s="25"/>
      <c r="J43" s="14"/>
      <c r="K43" s="5"/>
      <c r="L43" s="5"/>
      <c r="M43" s="14">
        <f t="shared" si="0"/>
        <v>0</v>
      </c>
      <c r="N43" s="316"/>
      <c r="O43" s="65">
        <f>+H43+I43-K43</f>
        <v>0</v>
      </c>
    </row>
    <row r="44" spans="1:15" s="3" customFormat="1" ht="20.25" x14ac:dyDescent="0.3">
      <c r="A44" s="802" t="s">
        <v>5</v>
      </c>
      <c r="B44" s="803"/>
      <c r="C44" s="803"/>
      <c r="D44" s="803"/>
      <c r="E44" s="803"/>
      <c r="F44" s="804"/>
      <c r="G44" s="335">
        <f>SUM(G6:G43)</f>
        <v>2053679</v>
      </c>
      <c r="H44" s="132">
        <f>SUM(H6:H43)</f>
        <v>9831690</v>
      </c>
      <c r="I44" s="26"/>
      <c r="J44" s="6"/>
      <c r="K44" s="6"/>
      <c r="L44" s="6"/>
      <c r="M44" s="66">
        <f>SUM(M6:M43)</f>
        <v>7645220</v>
      </c>
      <c r="N44" s="316"/>
      <c r="O44" s="66">
        <f>SUM(O6:O43)</f>
        <v>8777680</v>
      </c>
    </row>
    <row r="45" spans="1:15" s="3" customFormat="1" x14ac:dyDescent="0.25">
      <c r="A45" s="29"/>
      <c r="B45" s="29"/>
      <c r="C45" s="15"/>
      <c r="D45" s="15"/>
      <c r="E45"/>
      <c r="F45" s="206"/>
      <c r="G45" s="34"/>
      <c r="H45" s="116"/>
      <c r="I45" s="19"/>
      <c r="J45" s="19"/>
      <c r="K45" s="19"/>
      <c r="L45" s="19"/>
      <c r="M45" s="19"/>
      <c r="N45" s="527"/>
      <c r="O45"/>
    </row>
    <row r="46" spans="1:15" s="3" customFormat="1" x14ac:dyDescent="0.25">
      <c r="A46" s="29"/>
      <c r="B46" s="29"/>
      <c r="C46" s="15"/>
      <c r="D46" s="15"/>
      <c r="E46"/>
      <c r="F46" s="206"/>
      <c r="G46" s="34"/>
      <c r="H46" s="116"/>
      <c r="I46" s="19"/>
      <c r="J46" s="19"/>
      <c r="K46" s="19"/>
      <c r="L46" s="19"/>
      <c r="M46" s="19"/>
      <c r="N46" s="527"/>
      <c r="O46"/>
    </row>
    <row r="47" spans="1:15" s="3" customFormat="1" x14ac:dyDescent="0.25">
      <c r="A47" s="29"/>
      <c r="B47" s="29"/>
      <c r="C47" s="15"/>
      <c r="D47" s="15"/>
      <c r="E47"/>
      <c r="F47" s="206"/>
      <c r="G47" s="34"/>
      <c r="H47" s="116"/>
      <c r="I47" s="19"/>
      <c r="J47" s="19"/>
      <c r="K47" s="19"/>
      <c r="L47" s="19"/>
      <c r="M47" s="19"/>
      <c r="N47" s="527"/>
      <c r="O47"/>
    </row>
    <row r="48" spans="1:15" s="3" customFormat="1" x14ac:dyDescent="0.25">
      <c r="A48" s="29"/>
      <c r="B48" s="29"/>
      <c r="C48" s="15"/>
      <c r="D48" s="15"/>
      <c r="E48"/>
      <c r="F48" s="206"/>
      <c r="G48" s="34"/>
      <c r="H48" s="116"/>
      <c r="I48" s="19"/>
      <c r="J48" s="19"/>
      <c r="K48" s="19"/>
      <c r="L48" s="19"/>
      <c r="M48" s="19"/>
      <c r="N48" s="527"/>
      <c r="O48"/>
    </row>
    <row r="49" spans="1:15" s="3" customFormat="1" x14ac:dyDescent="0.25">
      <c r="A49" s="29"/>
      <c r="B49" s="29"/>
      <c r="C49" s="15"/>
      <c r="D49" s="15"/>
      <c r="E49"/>
      <c r="F49" s="206"/>
      <c r="G49" s="34"/>
      <c r="H49" s="116"/>
      <c r="I49" s="19"/>
      <c r="J49" s="19"/>
      <c r="K49" s="19"/>
      <c r="L49" s="19"/>
      <c r="M49" s="19"/>
      <c r="N49" s="527"/>
      <c r="O49"/>
    </row>
    <row r="50" spans="1:15" s="3" customFormat="1" x14ac:dyDescent="0.25">
      <c r="A50" s="29"/>
      <c r="B50" s="29"/>
      <c r="C50" s="15"/>
      <c r="D50" s="15"/>
      <c r="E50"/>
      <c r="F50" s="206"/>
      <c r="G50" s="34"/>
      <c r="H50" s="116"/>
      <c r="I50" s="19"/>
      <c r="J50" s="19"/>
      <c r="K50" s="19"/>
      <c r="L50" s="19"/>
      <c r="M50" s="19"/>
      <c r="N50" s="527"/>
      <c r="O50"/>
    </row>
    <row r="51" spans="1:15" s="3" customFormat="1" x14ac:dyDescent="0.25">
      <c r="A51" s="29"/>
      <c r="B51" s="29"/>
      <c r="C51" s="15"/>
      <c r="D51" s="15"/>
      <c r="E51"/>
      <c r="F51" s="206"/>
      <c r="G51" s="34"/>
      <c r="H51" s="116"/>
      <c r="I51" s="19"/>
      <c r="J51" s="19"/>
      <c r="K51" s="19"/>
      <c r="L51" s="19"/>
      <c r="M51" s="19"/>
      <c r="N51" s="527"/>
      <c r="O51"/>
    </row>
    <row r="52" spans="1:15" s="3" customFormat="1" x14ac:dyDescent="0.25">
      <c r="A52" s="29"/>
      <c r="B52" s="29"/>
      <c r="C52" s="15"/>
      <c r="D52" s="15"/>
      <c r="E52"/>
      <c r="F52" s="206"/>
      <c r="G52" s="34"/>
      <c r="H52" s="116"/>
      <c r="I52" s="19"/>
      <c r="J52" s="19"/>
      <c r="K52" s="19"/>
      <c r="L52" s="19"/>
      <c r="M52" s="19"/>
      <c r="N52" s="527"/>
      <c r="O52"/>
    </row>
    <row r="53" spans="1:15" s="3" customFormat="1" x14ac:dyDescent="0.25">
      <c r="A53" s="29"/>
      <c r="B53" s="29"/>
      <c r="C53" s="15"/>
      <c r="D53" s="15"/>
      <c r="E53"/>
      <c r="F53" s="206"/>
      <c r="G53" s="34"/>
      <c r="H53" s="116"/>
      <c r="I53" s="19"/>
      <c r="J53" s="19"/>
      <c r="K53" s="19"/>
      <c r="L53" s="19"/>
      <c r="M53" s="19"/>
      <c r="N53" s="527"/>
      <c r="O53"/>
    </row>
    <row r="54" spans="1:15" s="3" customFormat="1" x14ac:dyDescent="0.25">
      <c r="A54" s="29"/>
      <c r="B54" s="29"/>
      <c r="C54" s="15"/>
      <c r="D54" s="15"/>
      <c r="E54"/>
      <c r="F54" s="206"/>
      <c r="G54" s="34"/>
      <c r="H54" s="116"/>
      <c r="I54" s="19"/>
      <c r="J54" s="19"/>
      <c r="K54" s="19"/>
      <c r="L54" s="19"/>
      <c r="M54" s="19"/>
      <c r="N54" s="527"/>
      <c r="O54"/>
    </row>
    <row r="55" spans="1:15" s="3" customFormat="1" x14ac:dyDescent="0.25">
      <c r="A55" s="29"/>
      <c r="B55" s="29"/>
      <c r="C55" s="15"/>
      <c r="D55" s="15"/>
      <c r="E55"/>
      <c r="F55" s="206"/>
      <c r="G55" s="34"/>
      <c r="H55" s="116"/>
      <c r="I55" s="19"/>
      <c r="J55" s="19"/>
      <c r="K55" s="19"/>
      <c r="L55" s="19"/>
      <c r="M55" s="19"/>
      <c r="N55" s="527"/>
      <c r="O55"/>
    </row>
    <row r="56" spans="1:15" s="3" customFormat="1" x14ac:dyDescent="0.25">
      <c r="A56" s="29"/>
      <c r="B56" s="29"/>
      <c r="C56" s="15"/>
      <c r="D56" s="15"/>
      <c r="E56"/>
      <c r="F56" s="206"/>
      <c r="G56" s="34"/>
      <c r="H56" s="116"/>
      <c r="I56" s="19"/>
      <c r="J56" s="19"/>
      <c r="K56" s="19"/>
      <c r="L56" s="19"/>
      <c r="M56" s="19"/>
      <c r="N56" s="527"/>
      <c r="O56"/>
    </row>
    <row r="57" spans="1:15" s="3" customFormat="1" x14ac:dyDescent="0.25">
      <c r="A57" s="29"/>
      <c r="B57" s="29"/>
      <c r="C57" s="15"/>
      <c r="D57" s="15"/>
      <c r="E57"/>
      <c r="F57" s="206"/>
      <c r="G57" s="34"/>
      <c r="H57" s="116"/>
      <c r="I57" s="19"/>
      <c r="J57" s="19"/>
      <c r="K57" s="19"/>
      <c r="L57" s="19"/>
      <c r="M57" s="19"/>
      <c r="N57" s="527"/>
      <c r="O57"/>
    </row>
    <row r="58" spans="1:15" s="3" customFormat="1" x14ac:dyDescent="0.25">
      <c r="A58" s="29"/>
      <c r="B58" s="29"/>
      <c r="C58" s="15"/>
      <c r="D58" s="15"/>
      <c r="E58"/>
      <c r="F58" s="206"/>
      <c r="G58" s="34"/>
      <c r="H58" s="116"/>
      <c r="I58" s="19"/>
      <c r="J58" s="19"/>
      <c r="K58" s="19"/>
      <c r="L58" s="19"/>
      <c r="M58" s="19"/>
      <c r="N58" s="527"/>
      <c r="O58"/>
    </row>
    <row r="59" spans="1:15" s="3" customFormat="1" x14ac:dyDescent="0.25">
      <c r="A59" s="29"/>
      <c r="B59" s="29"/>
      <c r="C59" s="15"/>
      <c r="D59" s="15"/>
      <c r="E59"/>
      <c r="F59" s="206"/>
      <c r="G59" s="34"/>
      <c r="H59" s="116"/>
      <c r="I59" s="19"/>
      <c r="J59" s="19"/>
      <c r="K59" s="19"/>
      <c r="L59" s="19"/>
      <c r="M59" s="19"/>
      <c r="N59" s="527"/>
      <c r="O59"/>
    </row>
    <row r="60" spans="1:15" s="3" customFormat="1" x14ac:dyDescent="0.25">
      <c r="A60" s="29"/>
      <c r="B60" s="29"/>
      <c r="C60" s="15"/>
      <c r="D60" s="15"/>
      <c r="E60"/>
      <c r="F60" s="206"/>
      <c r="G60" s="34"/>
      <c r="H60" s="116"/>
      <c r="I60" s="19"/>
      <c r="J60" s="19"/>
      <c r="K60" s="19"/>
      <c r="L60" s="19"/>
      <c r="M60" s="19"/>
      <c r="N60" s="527"/>
      <c r="O60"/>
    </row>
    <row r="61" spans="1:15" s="3" customFormat="1" x14ac:dyDescent="0.25">
      <c r="A61" s="29"/>
      <c r="B61" s="29"/>
      <c r="C61" s="15"/>
      <c r="D61" s="15"/>
      <c r="E61"/>
      <c r="F61" s="206"/>
      <c r="G61" s="34"/>
      <c r="H61" s="116"/>
      <c r="I61" s="19"/>
      <c r="J61" s="19"/>
      <c r="K61" s="19"/>
      <c r="L61" s="19"/>
      <c r="M61" s="19"/>
      <c r="N61" s="527"/>
      <c r="O61"/>
    </row>
    <row r="62" spans="1:15" s="3" customFormat="1" x14ac:dyDescent="0.25">
      <c r="A62" s="29"/>
      <c r="B62" s="29"/>
      <c r="C62" s="15"/>
      <c r="D62" s="15"/>
      <c r="E62"/>
      <c r="F62" s="206"/>
      <c r="G62" s="34"/>
      <c r="H62" s="116"/>
      <c r="I62" s="19"/>
      <c r="J62" s="19"/>
      <c r="K62" s="19"/>
      <c r="L62" s="19"/>
      <c r="M62" s="19"/>
      <c r="N62" s="527"/>
      <c r="O62"/>
    </row>
    <row r="63" spans="1:15" s="3" customFormat="1" x14ac:dyDescent="0.25">
      <c r="A63" s="29"/>
      <c r="B63" s="29"/>
      <c r="C63" s="15"/>
      <c r="D63" s="15"/>
      <c r="E63"/>
      <c r="F63" s="206"/>
      <c r="G63" s="34"/>
      <c r="H63" s="116"/>
      <c r="I63" s="19"/>
      <c r="J63" s="19"/>
      <c r="K63" s="19"/>
      <c r="L63" s="19"/>
      <c r="M63" s="19"/>
      <c r="N63" s="527"/>
      <c r="O63"/>
    </row>
    <row r="64" spans="1:15" s="4" customFormat="1" ht="20.25" x14ac:dyDescent="0.3">
      <c r="A64" s="29"/>
      <c r="B64" s="29"/>
      <c r="C64" s="15"/>
      <c r="D64" s="15"/>
      <c r="E64"/>
      <c r="F64" s="206"/>
      <c r="G64" s="34"/>
      <c r="H64" s="116"/>
      <c r="I64" s="19"/>
      <c r="J64" s="19"/>
      <c r="K64" s="19"/>
      <c r="L64" s="19"/>
      <c r="M64" s="19"/>
      <c r="N64" s="527"/>
      <c r="O64"/>
    </row>
  </sheetData>
  <mergeCells count="7">
    <mergeCell ref="A44:F44"/>
    <mergeCell ref="A1:O1"/>
    <mergeCell ref="A4:A5"/>
    <mergeCell ref="B4:B5"/>
    <mergeCell ref="C4:C5"/>
    <mergeCell ref="I4:J4"/>
    <mergeCell ref="K4:L4"/>
  </mergeCells>
  <hyperlinks>
    <hyperlink ref="C6" location="'9011'!A1" display="104168571252 (OOLU4051899011)"/>
    <hyperlink ref="C16" location="'035G'!A1" display="104256047601(AEV0168035G)"/>
    <hyperlink ref="C12" location="'1770'!A1" display="104248867441(HLCUDK1210601770)"/>
    <hyperlink ref="C18" location="'9527'!A1" display="104262170461(210809527)"/>
    <hyperlink ref="C26" location="'4924'!A1" display="104226511541 (TMA0124924)"/>
  </hyperlinks>
  <pageMargins left="0.7" right="0.7" top="0.75" bottom="0.75" header="0.3" footer="0.3"/>
  <pageSetup scale="57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O66"/>
  <sheetViews>
    <sheetView showGridLines="0" topLeftCell="A4" workbookViewId="0">
      <pane xSplit="3" ySplit="2" topLeftCell="D36" activePane="bottomRight" state="frozen"/>
      <selection activeCell="J19" sqref="J19"/>
      <selection pane="topRight" activeCell="J19" sqref="J19"/>
      <selection pane="bottomLeft" activeCell="J19" sqref="J19"/>
      <selection pane="bottomRight" activeCell="K43" sqref="K43"/>
    </sheetView>
  </sheetViews>
  <sheetFormatPr defaultRowHeight="21" x14ac:dyDescent="0.35"/>
  <cols>
    <col min="1" max="1" width="4.7109375" style="29" customWidth="1"/>
    <col min="2" max="2" width="8.85546875" style="29" customWidth="1"/>
    <col min="3" max="3" width="39.140625" style="15" customWidth="1"/>
    <col min="4" max="4" width="8.28515625" style="303" customWidth="1"/>
    <col min="5" max="5" width="16.28515625" customWidth="1"/>
    <col min="6" max="6" width="7.5703125" style="206" customWidth="1"/>
    <col min="7" max="7" width="15.5703125" style="306" customWidth="1"/>
    <col min="8" max="8" width="17.5703125" style="309" customWidth="1"/>
    <col min="9" max="9" width="8.85546875" style="19" customWidth="1"/>
    <col min="10" max="10" width="9.7109375" style="19" customWidth="1"/>
    <col min="11" max="11" width="9.42578125" style="19" customWidth="1"/>
    <col min="12" max="12" width="14.85546875" style="19" bestFit="1" customWidth="1"/>
    <col min="13" max="13" width="18.28515625" style="19" customWidth="1"/>
    <col min="14" max="14" width="23.7109375" style="641" customWidth="1"/>
    <col min="15" max="15" width="16" customWidth="1"/>
  </cols>
  <sheetData>
    <row r="1" spans="1:15" ht="34.5" x14ac:dyDescent="0.45">
      <c r="A1" s="745" t="s">
        <v>63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1:15" ht="20.25" x14ac:dyDescent="0.3">
      <c r="A2" s="129"/>
      <c r="B2" s="129"/>
      <c r="C2" s="99"/>
      <c r="D2" s="381"/>
      <c r="E2" s="3"/>
      <c r="F2" s="1"/>
      <c r="G2" s="382"/>
      <c r="H2" s="383"/>
      <c r="I2" s="384"/>
      <c r="J2" s="384"/>
      <c r="K2" s="384"/>
      <c r="L2" s="385" t="s">
        <v>62</v>
      </c>
      <c r="M2" s="386">
        <f ca="1">TODAY()</f>
        <v>44848</v>
      </c>
      <c r="N2" s="387"/>
      <c r="O2" s="3"/>
    </row>
    <row r="3" spans="1:15" s="52" customFormat="1" ht="20.25" x14ac:dyDescent="0.3">
      <c r="A3" s="45"/>
      <c r="B3" s="45"/>
      <c r="C3" s="46"/>
      <c r="D3" s="304"/>
      <c r="E3" s="44" t="s">
        <v>43</v>
      </c>
      <c r="F3" s="294"/>
      <c r="G3" s="307"/>
      <c r="H3" s="310" t="s">
        <v>111</v>
      </c>
      <c r="I3" s="49" t="s">
        <v>110</v>
      </c>
      <c r="J3" s="50"/>
      <c r="K3" s="49"/>
      <c r="L3" s="51"/>
      <c r="N3" s="314"/>
    </row>
    <row r="4" spans="1:15" s="1" customFormat="1" ht="54.75" customHeight="1" x14ac:dyDescent="0.3">
      <c r="A4" s="746" t="s">
        <v>0</v>
      </c>
      <c r="B4" s="748" t="s">
        <v>37</v>
      </c>
      <c r="C4" s="750" t="s">
        <v>39</v>
      </c>
      <c r="D4" s="377" t="s">
        <v>64</v>
      </c>
      <c r="E4" s="379" t="s">
        <v>3</v>
      </c>
      <c r="F4" s="297" t="s">
        <v>4</v>
      </c>
      <c r="G4" s="308" t="s">
        <v>743</v>
      </c>
      <c r="H4" s="135" t="s">
        <v>6</v>
      </c>
      <c r="I4" s="752" t="s">
        <v>7</v>
      </c>
      <c r="J4" s="753"/>
      <c r="K4" s="752" t="s">
        <v>8</v>
      </c>
      <c r="L4" s="753"/>
      <c r="M4" s="376" t="s">
        <v>55</v>
      </c>
      <c r="N4" s="810" t="s">
        <v>1</v>
      </c>
      <c r="O4" s="62" t="s">
        <v>9</v>
      </c>
    </row>
    <row r="5" spans="1:15" s="1" customFormat="1" ht="15.75" customHeight="1" x14ac:dyDescent="0.25">
      <c r="A5" s="747"/>
      <c r="B5" s="749"/>
      <c r="C5" s="751"/>
      <c r="D5" s="378"/>
      <c r="E5" s="380"/>
      <c r="F5" s="208"/>
      <c r="G5" s="308" t="s">
        <v>13</v>
      </c>
      <c r="H5" s="21" t="s">
        <v>13</v>
      </c>
      <c r="I5" s="21" t="s">
        <v>51</v>
      </c>
      <c r="J5" s="21" t="s">
        <v>53</v>
      </c>
      <c r="K5" s="21" t="s">
        <v>51</v>
      </c>
      <c r="L5" s="21" t="s">
        <v>52</v>
      </c>
      <c r="M5" s="21" t="s">
        <v>13</v>
      </c>
      <c r="N5" s="811"/>
      <c r="O5" s="64" t="s">
        <v>13</v>
      </c>
    </row>
    <row r="6" spans="1:15" s="12" customFormat="1" ht="20.25" x14ac:dyDescent="0.3">
      <c r="A6" s="28" t="s">
        <v>32</v>
      </c>
      <c r="B6" s="31" t="s">
        <v>642</v>
      </c>
      <c r="C6" s="20" t="s">
        <v>644</v>
      </c>
      <c r="D6" s="305" t="s">
        <v>67</v>
      </c>
      <c r="E6" s="57" t="s">
        <v>54</v>
      </c>
      <c r="F6" s="205" t="s">
        <v>10</v>
      </c>
      <c r="G6" s="313"/>
      <c r="H6" s="311">
        <f>107080+110200</f>
        <v>217280</v>
      </c>
      <c r="I6" s="108"/>
      <c r="J6" s="33"/>
      <c r="K6" s="33"/>
      <c r="L6" s="175"/>
      <c r="M6" s="14">
        <f t="shared" ref="M6:M41" si="0">+H6+J6-L6</f>
        <v>217280</v>
      </c>
      <c r="N6" s="315" t="s">
        <v>315</v>
      </c>
      <c r="O6" s="65">
        <f>H6+I6-K6</f>
        <v>217280</v>
      </c>
    </row>
    <row r="7" spans="1:15" s="12" customFormat="1" ht="20.25" x14ac:dyDescent="0.3">
      <c r="A7" s="28" t="s">
        <v>33</v>
      </c>
      <c r="B7" s="31" t="s">
        <v>642</v>
      </c>
      <c r="C7" s="20" t="s">
        <v>646</v>
      </c>
      <c r="D7" s="305" t="s">
        <v>134</v>
      </c>
      <c r="E7" s="9" t="s">
        <v>54</v>
      </c>
      <c r="F7" s="295" t="s">
        <v>10</v>
      </c>
      <c r="G7" s="313"/>
      <c r="H7" s="311">
        <f>76980+74940+203580+102320</f>
        <v>457820</v>
      </c>
      <c r="I7" s="25"/>
      <c r="J7" s="14"/>
      <c r="K7" s="5"/>
      <c r="L7" s="5"/>
      <c r="M7" s="14">
        <f t="shared" si="0"/>
        <v>457820</v>
      </c>
      <c r="N7" s="315" t="s">
        <v>647</v>
      </c>
      <c r="O7" s="65">
        <f t="shared" ref="O7:O26" si="1">+H7+I7-K7</f>
        <v>457820</v>
      </c>
    </row>
    <row r="8" spans="1:15" s="12" customFormat="1" ht="20.25" x14ac:dyDescent="0.3">
      <c r="A8" s="28" t="s">
        <v>34</v>
      </c>
      <c r="B8" s="31" t="s">
        <v>654</v>
      </c>
      <c r="C8" s="20" t="s">
        <v>655</v>
      </c>
      <c r="D8" s="305" t="s">
        <v>186</v>
      </c>
      <c r="E8" s="9" t="s">
        <v>54</v>
      </c>
      <c r="F8" s="295" t="s">
        <v>10</v>
      </c>
      <c r="G8" s="313"/>
      <c r="H8" s="311">
        <f>133240+130620+51490</f>
        <v>315350</v>
      </c>
      <c r="I8" s="25"/>
      <c r="J8" s="14"/>
      <c r="K8" s="5"/>
      <c r="L8" s="5"/>
      <c r="M8" s="14">
        <f t="shared" si="0"/>
        <v>315350</v>
      </c>
      <c r="N8" s="315" t="s">
        <v>44</v>
      </c>
      <c r="O8" s="65">
        <f t="shared" si="1"/>
        <v>315350</v>
      </c>
    </row>
    <row r="9" spans="1:15" s="12" customFormat="1" ht="20.25" x14ac:dyDescent="0.3">
      <c r="A9" s="28" t="s">
        <v>36</v>
      </c>
      <c r="B9" s="31" t="s">
        <v>679</v>
      </c>
      <c r="C9" s="20" t="s">
        <v>680</v>
      </c>
      <c r="D9" s="305" t="s">
        <v>186</v>
      </c>
      <c r="E9" s="9" t="s">
        <v>54</v>
      </c>
      <c r="F9" s="295" t="s">
        <v>10</v>
      </c>
      <c r="G9" s="313"/>
      <c r="H9" s="311">
        <f>291950+237990</f>
        <v>529940</v>
      </c>
      <c r="I9" s="25"/>
      <c r="J9" s="14"/>
      <c r="K9" s="5"/>
      <c r="L9" s="5"/>
      <c r="M9" s="14">
        <f t="shared" si="0"/>
        <v>529940</v>
      </c>
      <c r="N9" s="315" t="s">
        <v>681</v>
      </c>
      <c r="O9" s="65">
        <f t="shared" si="1"/>
        <v>529940</v>
      </c>
    </row>
    <row r="10" spans="1:15" s="12" customFormat="1" ht="20.25" x14ac:dyDescent="0.3">
      <c r="A10" s="28" t="s">
        <v>17</v>
      </c>
      <c r="B10" s="179" t="s">
        <v>682</v>
      </c>
      <c r="C10" s="20" t="s">
        <v>685</v>
      </c>
      <c r="D10" s="305" t="s">
        <v>67</v>
      </c>
      <c r="E10" s="9" t="s">
        <v>54</v>
      </c>
      <c r="F10" s="295" t="s">
        <v>10</v>
      </c>
      <c r="G10" s="313"/>
      <c r="H10" s="311">
        <f>126320+256730+152490</f>
        <v>535540</v>
      </c>
      <c r="I10" s="25"/>
      <c r="J10" s="14"/>
      <c r="K10" s="5"/>
      <c r="L10" s="5"/>
      <c r="M10" s="14">
        <f t="shared" si="0"/>
        <v>535540</v>
      </c>
      <c r="N10" s="315" t="s">
        <v>622</v>
      </c>
      <c r="O10" s="65">
        <f t="shared" si="1"/>
        <v>535540</v>
      </c>
    </row>
    <row r="11" spans="1:15" s="12" customFormat="1" ht="20.25" x14ac:dyDescent="0.3">
      <c r="A11" s="28" t="s">
        <v>18</v>
      </c>
      <c r="B11" s="31" t="s">
        <v>693</v>
      </c>
      <c r="C11" s="20" t="s">
        <v>694</v>
      </c>
      <c r="D11" s="305" t="s">
        <v>186</v>
      </c>
      <c r="E11" s="9" t="s">
        <v>54</v>
      </c>
      <c r="F11" s="295" t="s">
        <v>10</v>
      </c>
      <c r="G11" s="313"/>
      <c r="H11" s="311">
        <v>46820</v>
      </c>
      <c r="I11" s="25"/>
      <c r="J11" s="14"/>
      <c r="K11" s="5"/>
      <c r="L11" s="5"/>
      <c r="M11" s="14">
        <f t="shared" si="0"/>
        <v>46820</v>
      </c>
      <c r="N11" s="315" t="s">
        <v>695</v>
      </c>
      <c r="O11" s="65">
        <f t="shared" si="1"/>
        <v>46820</v>
      </c>
    </row>
    <row r="12" spans="1:15" s="3" customFormat="1" ht="20.25" x14ac:dyDescent="0.3">
      <c r="A12" s="28" t="s">
        <v>19</v>
      </c>
      <c r="B12" s="31" t="s">
        <v>700</v>
      </c>
      <c r="C12" s="20" t="s">
        <v>702</v>
      </c>
      <c r="D12" s="305" t="s">
        <v>67</v>
      </c>
      <c r="E12" s="9" t="s">
        <v>54</v>
      </c>
      <c r="F12" s="295" t="s">
        <v>10</v>
      </c>
      <c r="G12" s="313"/>
      <c r="H12" s="311">
        <v>26980</v>
      </c>
      <c r="I12" s="25"/>
      <c r="J12" s="14"/>
      <c r="K12" s="5"/>
      <c r="L12" s="5"/>
      <c r="M12" s="14">
        <f t="shared" si="0"/>
        <v>26980</v>
      </c>
      <c r="N12" s="315" t="s">
        <v>626</v>
      </c>
      <c r="O12" s="65">
        <f t="shared" si="1"/>
        <v>26980</v>
      </c>
    </row>
    <row r="13" spans="1:15" s="3" customFormat="1" ht="20.25" x14ac:dyDescent="0.3">
      <c r="A13" s="28" t="s">
        <v>20</v>
      </c>
      <c r="B13" s="31" t="s">
        <v>717</v>
      </c>
      <c r="C13" s="20" t="s">
        <v>718</v>
      </c>
      <c r="D13" s="305" t="s">
        <v>134</v>
      </c>
      <c r="E13" s="9" t="s">
        <v>54</v>
      </c>
      <c r="F13" s="295" t="s">
        <v>10</v>
      </c>
      <c r="G13" s="313"/>
      <c r="H13" s="311">
        <v>51370</v>
      </c>
      <c r="I13" s="25"/>
      <c r="J13" s="14"/>
      <c r="K13" s="5"/>
      <c r="L13" s="5"/>
      <c r="M13" s="14">
        <f t="shared" si="0"/>
        <v>51370</v>
      </c>
      <c r="N13" s="315" t="s">
        <v>695</v>
      </c>
      <c r="O13" s="65">
        <f t="shared" si="1"/>
        <v>51370</v>
      </c>
    </row>
    <row r="14" spans="1:15" s="3" customFormat="1" ht="20.25" x14ac:dyDescent="0.3">
      <c r="A14" s="28" t="s">
        <v>387</v>
      </c>
      <c r="B14" s="31" t="s">
        <v>717</v>
      </c>
      <c r="C14" s="20" t="s">
        <v>720</v>
      </c>
      <c r="D14" s="305" t="s">
        <v>134</v>
      </c>
      <c r="E14" s="9" t="s">
        <v>54</v>
      </c>
      <c r="F14" s="295" t="s">
        <v>10</v>
      </c>
      <c r="G14" s="313"/>
      <c r="H14" s="311">
        <f>154070+203150+74190+126110</f>
        <v>557520</v>
      </c>
      <c r="I14" s="25"/>
      <c r="J14" s="14"/>
      <c r="K14" s="5"/>
      <c r="L14" s="5"/>
      <c r="M14" s="14">
        <f t="shared" si="0"/>
        <v>557520</v>
      </c>
      <c r="N14" s="315" t="s">
        <v>635</v>
      </c>
      <c r="O14" s="65">
        <f t="shared" si="1"/>
        <v>557520</v>
      </c>
    </row>
    <row r="15" spans="1:15" s="3" customFormat="1" ht="20.25" x14ac:dyDescent="0.3">
      <c r="A15" s="28" t="s">
        <v>21</v>
      </c>
      <c r="B15" s="31" t="s">
        <v>724</v>
      </c>
      <c r="C15" s="20" t="s">
        <v>719</v>
      </c>
      <c r="D15" s="305" t="s">
        <v>134</v>
      </c>
      <c r="E15" s="9" t="s">
        <v>54</v>
      </c>
      <c r="F15" s="295" t="s">
        <v>10</v>
      </c>
      <c r="G15" s="313"/>
      <c r="H15" s="311">
        <v>76640</v>
      </c>
      <c r="I15" s="25"/>
      <c r="J15" s="14"/>
      <c r="K15" s="5"/>
      <c r="L15" s="5"/>
      <c r="M15" s="14">
        <f t="shared" si="0"/>
        <v>76640</v>
      </c>
      <c r="N15" s="315" t="s">
        <v>628</v>
      </c>
      <c r="O15" s="65">
        <f t="shared" si="1"/>
        <v>76640</v>
      </c>
    </row>
    <row r="16" spans="1:15" s="3" customFormat="1" ht="18.75" x14ac:dyDescent="0.3">
      <c r="A16" s="28" t="s">
        <v>422</v>
      </c>
      <c r="B16" s="31" t="s">
        <v>724</v>
      </c>
      <c r="C16" s="20" t="s">
        <v>726</v>
      </c>
      <c r="D16" s="305" t="s">
        <v>134</v>
      </c>
      <c r="E16" s="9" t="s">
        <v>54</v>
      </c>
      <c r="F16" s="295" t="s">
        <v>10</v>
      </c>
      <c r="G16" s="360"/>
      <c r="H16" s="311">
        <v>102110</v>
      </c>
      <c r="I16" s="25"/>
      <c r="J16" s="14"/>
      <c r="K16" s="5"/>
      <c r="L16" s="5"/>
      <c r="M16" s="362">
        <f t="shared" si="0"/>
        <v>102110</v>
      </c>
      <c r="N16" s="315" t="s">
        <v>727</v>
      </c>
      <c r="O16" s="65">
        <f t="shared" si="1"/>
        <v>102110</v>
      </c>
    </row>
    <row r="17" spans="1:15" s="3" customFormat="1" ht="18.75" x14ac:dyDescent="0.3">
      <c r="A17" s="28" t="s">
        <v>423</v>
      </c>
      <c r="B17" s="31" t="s">
        <v>724</v>
      </c>
      <c r="C17" s="20" t="s">
        <v>728</v>
      </c>
      <c r="D17" s="305" t="s">
        <v>183</v>
      </c>
      <c r="E17" s="9" t="s">
        <v>54</v>
      </c>
      <c r="F17" s="295" t="s">
        <v>10</v>
      </c>
      <c r="G17" s="360"/>
      <c r="H17" s="311">
        <v>25730</v>
      </c>
      <c r="I17" s="25"/>
      <c r="J17" s="14"/>
      <c r="K17" s="5"/>
      <c r="L17" s="5"/>
      <c r="M17" s="362">
        <f t="shared" si="0"/>
        <v>25730</v>
      </c>
      <c r="N17" s="315" t="s">
        <v>626</v>
      </c>
      <c r="O17" s="65">
        <f t="shared" si="1"/>
        <v>25730</v>
      </c>
    </row>
    <row r="18" spans="1:15" s="3" customFormat="1" ht="18.75" x14ac:dyDescent="0.3">
      <c r="A18" s="28" t="s">
        <v>424</v>
      </c>
      <c r="B18" s="31" t="s">
        <v>742</v>
      </c>
      <c r="C18" s="20" t="s">
        <v>744</v>
      </c>
      <c r="D18" s="305" t="s">
        <v>183</v>
      </c>
      <c r="E18" s="9" t="s">
        <v>54</v>
      </c>
      <c r="F18" s="295" t="s">
        <v>10</v>
      </c>
      <c r="G18" s="360">
        <v>78065</v>
      </c>
      <c r="H18" s="311">
        <v>78590</v>
      </c>
      <c r="I18" s="25"/>
      <c r="J18" s="14"/>
      <c r="K18" s="5"/>
      <c r="L18" s="5"/>
      <c r="M18" s="362">
        <f t="shared" si="0"/>
        <v>78590</v>
      </c>
      <c r="N18" s="315" t="s">
        <v>628</v>
      </c>
      <c r="O18" s="65">
        <f t="shared" si="1"/>
        <v>78590</v>
      </c>
    </row>
    <row r="19" spans="1:15" s="3" customFormat="1" ht="18.75" x14ac:dyDescent="0.3">
      <c r="A19" s="28" t="s">
        <v>22</v>
      </c>
      <c r="B19" s="31" t="s">
        <v>747</v>
      </c>
      <c r="C19" s="20" t="s">
        <v>749</v>
      </c>
      <c r="D19" s="305" t="s">
        <v>67</v>
      </c>
      <c r="E19" s="9" t="s">
        <v>54</v>
      </c>
      <c r="F19" s="295" t="s">
        <v>10</v>
      </c>
      <c r="G19" s="360">
        <v>28480</v>
      </c>
      <c r="H19" s="311">
        <v>28580</v>
      </c>
      <c r="I19" s="25"/>
      <c r="J19" s="14"/>
      <c r="K19" s="5"/>
      <c r="L19" s="5"/>
      <c r="M19" s="362">
        <f t="shared" si="0"/>
        <v>28580</v>
      </c>
      <c r="N19" s="274" t="s">
        <v>626</v>
      </c>
      <c r="O19" s="65">
        <f t="shared" si="1"/>
        <v>28580</v>
      </c>
    </row>
    <row r="20" spans="1:15" s="3" customFormat="1" ht="18.75" x14ac:dyDescent="0.3">
      <c r="A20" s="28" t="s">
        <v>425</v>
      </c>
      <c r="B20" s="151" t="s">
        <v>754</v>
      </c>
      <c r="C20" s="12" t="s">
        <v>755</v>
      </c>
      <c r="D20" s="305" t="s">
        <v>186</v>
      </c>
      <c r="E20" s="9" t="s">
        <v>54</v>
      </c>
      <c r="F20" s="295" t="s">
        <v>10</v>
      </c>
      <c r="G20" s="361">
        <v>96660</v>
      </c>
      <c r="H20" s="311">
        <f>74100+23490</f>
        <v>97590</v>
      </c>
      <c r="I20" s="25"/>
      <c r="J20" s="14"/>
      <c r="K20" s="5"/>
      <c r="L20" s="5"/>
      <c r="M20" s="362">
        <f t="shared" si="0"/>
        <v>97590</v>
      </c>
      <c r="N20" s="274" t="s">
        <v>727</v>
      </c>
      <c r="O20" s="65">
        <f t="shared" si="1"/>
        <v>97590</v>
      </c>
    </row>
    <row r="21" spans="1:15" s="3" customFormat="1" ht="18.75" x14ac:dyDescent="0.3">
      <c r="A21" s="28" t="s">
        <v>426</v>
      </c>
      <c r="B21" s="31" t="s">
        <v>772</v>
      </c>
      <c r="C21" s="20" t="s">
        <v>829</v>
      </c>
      <c r="D21" s="305" t="s">
        <v>183</v>
      </c>
      <c r="E21" s="9" t="s">
        <v>54</v>
      </c>
      <c r="F21" s="295" t="s">
        <v>10</v>
      </c>
      <c r="G21" s="360">
        <v>512018</v>
      </c>
      <c r="H21" s="311">
        <f>179980+154710+179710</f>
        <v>514400</v>
      </c>
      <c r="I21" s="25"/>
      <c r="J21" s="14"/>
      <c r="K21" s="5"/>
      <c r="L21" s="5"/>
      <c r="M21" s="362">
        <f t="shared" si="0"/>
        <v>514400</v>
      </c>
      <c r="N21" s="315" t="s">
        <v>681</v>
      </c>
      <c r="O21" s="65">
        <f t="shared" si="1"/>
        <v>514400</v>
      </c>
    </row>
    <row r="22" spans="1:15" s="3" customFormat="1" ht="18.75" x14ac:dyDescent="0.3">
      <c r="A22" s="28" t="s">
        <v>427</v>
      </c>
      <c r="B22" s="31" t="s">
        <v>783</v>
      </c>
      <c r="C22" s="20" t="s">
        <v>784</v>
      </c>
      <c r="D22" s="305" t="s">
        <v>183</v>
      </c>
      <c r="E22" s="9" t="s">
        <v>54</v>
      </c>
      <c r="F22" s="295" t="s">
        <v>10</v>
      </c>
      <c r="G22" s="360">
        <v>168470</v>
      </c>
      <c r="H22" s="311">
        <f>121250+48740</f>
        <v>169990</v>
      </c>
      <c r="I22" s="25"/>
      <c r="J22" s="14"/>
      <c r="K22" s="5"/>
      <c r="L22" s="5"/>
      <c r="M22" s="362">
        <f t="shared" si="0"/>
        <v>169990</v>
      </c>
      <c r="N22" s="315" t="s">
        <v>630</v>
      </c>
      <c r="O22" s="65">
        <f t="shared" si="1"/>
        <v>169990</v>
      </c>
    </row>
    <row r="23" spans="1:15" s="3" customFormat="1" ht="18.75" x14ac:dyDescent="0.3">
      <c r="A23" s="28" t="s">
        <v>23</v>
      </c>
      <c r="B23" s="31" t="s">
        <v>806</v>
      </c>
      <c r="C23" s="87" t="s">
        <v>828</v>
      </c>
      <c r="D23" s="305" t="s">
        <v>134</v>
      </c>
      <c r="E23" s="9" t="s">
        <v>54</v>
      </c>
      <c r="F23" s="295" t="s">
        <v>10</v>
      </c>
      <c r="G23" s="360">
        <v>351830</v>
      </c>
      <c r="H23" s="311">
        <f>250550+101040</f>
        <v>351590</v>
      </c>
      <c r="I23" s="25"/>
      <c r="J23" s="14"/>
      <c r="K23" s="5"/>
      <c r="L23" s="201">
        <f>'GREENTEC A6'!H16</f>
        <v>313960</v>
      </c>
      <c r="M23" s="362">
        <f t="shared" si="0"/>
        <v>37630</v>
      </c>
      <c r="N23" s="315" t="s">
        <v>811</v>
      </c>
      <c r="O23" s="65">
        <f t="shared" si="1"/>
        <v>351590</v>
      </c>
    </row>
    <row r="24" spans="1:15" s="3" customFormat="1" ht="18.75" x14ac:dyDescent="0.3">
      <c r="A24" s="28" t="s">
        <v>428</v>
      </c>
      <c r="B24" s="31" t="s">
        <v>827</v>
      </c>
      <c r="C24" s="20" t="s">
        <v>830</v>
      </c>
      <c r="D24" s="305" t="s">
        <v>74</v>
      </c>
      <c r="E24" s="9" t="s">
        <v>54</v>
      </c>
      <c r="F24" s="295" t="s">
        <v>10</v>
      </c>
      <c r="G24" s="360">
        <v>73800</v>
      </c>
      <c r="H24" s="311">
        <f>24860+49330</f>
        <v>74190</v>
      </c>
      <c r="I24" s="25"/>
      <c r="J24" s="14"/>
      <c r="K24" s="5"/>
      <c r="L24" s="5"/>
      <c r="M24" s="362">
        <f t="shared" si="0"/>
        <v>74190</v>
      </c>
      <c r="N24" s="315" t="s">
        <v>628</v>
      </c>
      <c r="O24" s="65">
        <f t="shared" si="1"/>
        <v>74190</v>
      </c>
    </row>
    <row r="25" spans="1:15" s="3" customFormat="1" ht="18.75" x14ac:dyDescent="0.3">
      <c r="A25" s="28" t="s">
        <v>24</v>
      </c>
      <c r="B25" s="31" t="s">
        <v>887</v>
      </c>
      <c r="C25" s="20" t="s">
        <v>889</v>
      </c>
      <c r="D25" s="305" t="s">
        <v>74</v>
      </c>
      <c r="E25" s="9" t="s">
        <v>54</v>
      </c>
      <c r="F25" s="295" t="s">
        <v>10</v>
      </c>
      <c r="G25" s="360">
        <v>458280</v>
      </c>
      <c r="H25" s="311">
        <f>136070+188770+135450</f>
        <v>460290</v>
      </c>
      <c r="I25" s="25"/>
      <c r="J25" s="14"/>
      <c r="K25" s="5"/>
      <c r="L25" s="5"/>
      <c r="M25" s="362">
        <f t="shared" si="0"/>
        <v>460290</v>
      </c>
      <c r="N25" s="315" t="s">
        <v>364</v>
      </c>
      <c r="O25" s="65">
        <f t="shared" si="1"/>
        <v>460290</v>
      </c>
    </row>
    <row r="26" spans="1:15" s="3" customFormat="1" ht="18.75" x14ac:dyDescent="0.3">
      <c r="A26" s="28" t="s">
        <v>25</v>
      </c>
      <c r="B26" s="31" t="s">
        <v>913</v>
      </c>
      <c r="C26" s="20" t="s">
        <v>915</v>
      </c>
      <c r="D26" s="305" t="s">
        <v>183</v>
      </c>
      <c r="E26" s="9" t="s">
        <v>54</v>
      </c>
      <c r="F26" s="295" t="s">
        <v>10</v>
      </c>
      <c r="G26" s="360">
        <v>114690</v>
      </c>
      <c r="H26" s="311">
        <f>86450+28650</f>
        <v>115100</v>
      </c>
      <c r="I26" s="25"/>
      <c r="J26" s="14"/>
      <c r="K26" s="5"/>
      <c r="L26" s="5"/>
      <c r="M26" s="362">
        <f t="shared" si="0"/>
        <v>115100</v>
      </c>
      <c r="N26" s="315" t="s">
        <v>727</v>
      </c>
      <c r="O26" s="65">
        <f t="shared" si="1"/>
        <v>115100</v>
      </c>
    </row>
    <row r="27" spans="1:15" s="510" customFormat="1" ht="18.75" x14ac:dyDescent="0.3">
      <c r="A27" s="28" t="s">
        <v>26</v>
      </c>
      <c r="B27" s="500" t="s">
        <v>642</v>
      </c>
      <c r="C27" s="501" t="s">
        <v>645</v>
      </c>
      <c r="D27" s="519" t="s">
        <v>67</v>
      </c>
      <c r="E27" s="503" t="s">
        <v>54</v>
      </c>
      <c r="F27" s="516" t="s">
        <v>10</v>
      </c>
      <c r="G27" s="599"/>
      <c r="H27" s="597">
        <v>193990</v>
      </c>
      <c r="I27" s="505"/>
      <c r="J27" s="506"/>
      <c r="K27" s="507"/>
      <c r="L27" s="507"/>
      <c r="M27" s="600">
        <f t="shared" si="0"/>
        <v>193990</v>
      </c>
      <c r="N27" s="531" t="s">
        <v>968</v>
      </c>
      <c r="O27" s="509">
        <v>193990</v>
      </c>
    </row>
    <row r="28" spans="1:15" s="561" customFormat="1" ht="18.75" x14ac:dyDescent="0.3">
      <c r="A28" s="28" t="s">
        <v>27</v>
      </c>
      <c r="B28" s="500" t="s">
        <v>549</v>
      </c>
      <c r="C28" s="501" t="s">
        <v>551</v>
      </c>
      <c r="D28" s="502" t="s">
        <v>183</v>
      </c>
      <c r="E28" s="503" t="s">
        <v>54</v>
      </c>
      <c r="F28" s="516" t="s">
        <v>10</v>
      </c>
      <c r="G28" s="504"/>
      <c r="H28" s="537">
        <f>84110+164580+27180</f>
        <v>275870</v>
      </c>
      <c r="I28" s="505"/>
      <c r="J28" s="506"/>
      <c r="K28" s="507"/>
      <c r="L28" s="507"/>
      <c r="M28" s="600">
        <f t="shared" si="0"/>
        <v>275870</v>
      </c>
      <c r="N28" s="508" t="s">
        <v>40</v>
      </c>
      <c r="O28" s="509">
        <f>+H28+I28-K28</f>
        <v>275870</v>
      </c>
    </row>
    <row r="29" spans="1:15" s="561" customFormat="1" ht="18.75" x14ac:dyDescent="0.3">
      <c r="A29" s="28" t="s">
        <v>28</v>
      </c>
      <c r="B29" s="500" t="s">
        <v>543</v>
      </c>
      <c r="C29" s="501" t="s">
        <v>547</v>
      </c>
      <c r="D29" s="502" t="s">
        <v>183</v>
      </c>
      <c r="E29" s="503" t="s">
        <v>54</v>
      </c>
      <c r="F29" s="516" t="s">
        <v>10</v>
      </c>
      <c r="G29" s="504"/>
      <c r="H29" s="537">
        <f>110410+139380</f>
        <v>249790</v>
      </c>
      <c r="I29" s="505"/>
      <c r="J29" s="506"/>
      <c r="K29" s="507"/>
      <c r="L29" s="507"/>
      <c r="M29" s="600">
        <f t="shared" si="0"/>
        <v>249790</v>
      </c>
      <c r="N29" s="508" t="s">
        <v>981</v>
      </c>
      <c r="O29" s="509">
        <f>+H29+I29-K29</f>
        <v>249790</v>
      </c>
    </row>
    <row r="30" spans="1:15" s="510" customFormat="1" ht="18.75" x14ac:dyDescent="0.3">
      <c r="A30" s="28" t="s">
        <v>29</v>
      </c>
      <c r="B30" s="500" t="s">
        <v>555</v>
      </c>
      <c r="C30" s="501" t="s">
        <v>559</v>
      </c>
      <c r="D30" s="519" t="s">
        <v>186</v>
      </c>
      <c r="E30" s="503" t="s">
        <v>54</v>
      </c>
      <c r="F30" s="516" t="s">
        <v>10</v>
      </c>
      <c r="G30" s="599"/>
      <c r="H30" s="597">
        <v>158920</v>
      </c>
      <c r="I30" s="505"/>
      <c r="J30" s="506"/>
      <c r="K30" s="507"/>
      <c r="L30" s="507"/>
      <c r="M30" s="600">
        <f t="shared" si="0"/>
        <v>158920</v>
      </c>
      <c r="N30" s="531" t="s">
        <v>58</v>
      </c>
      <c r="O30" s="509">
        <v>158920</v>
      </c>
    </row>
    <row r="31" spans="1:15" s="510" customFormat="1" ht="18.75" x14ac:dyDescent="0.3">
      <c r="A31" s="28" t="s">
        <v>30</v>
      </c>
      <c r="B31" s="500" t="s">
        <v>560</v>
      </c>
      <c r="C31" s="501" t="s">
        <v>563</v>
      </c>
      <c r="D31" s="519" t="s">
        <v>186</v>
      </c>
      <c r="E31" s="503" t="s">
        <v>54</v>
      </c>
      <c r="F31" s="516" t="s">
        <v>10</v>
      </c>
      <c r="G31" s="599"/>
      <c r="H31" s="597">
        <v>252000</v>
      </c>
      <c r="I31" s="505"/>
      <c r="J31" s="506"/>
      <c r="K31" s="507"/>
      <c r="L31" s="507"/>
      <c r="M31" s="600">
        <f t="shared" si="0"/>
        <v>252000</v>
      </c>
      <c r="N31" s="531" t="s">
        <v>40</v>
      </c>
      <c r="O31" s="509">
        <v>252000</v>
      </c>
    </row>
    <row r="32" spans="1:15" s="510" customFormat="1" ht="18.75" x14ac:dyDescent="0.3">
      <c r="A32" s="28" t="s">
        <v>31</v>
      </c>
      <c r="B32" s="500" t="s">
        <v>597</v>
      </c>
      <c r="C32" s="501" t="s">
        <v>598</v>
      </c>
      <c r="D32" s="519" t="s">
        <v>67</v>
      </c>
      <c r="E32" s="503" t="s">
        <v>54</v>
      </c>
      <c r="F32" s="516" t="s">
        <v>10</v>
      </c>
      <c r="G32" s="599"/>
      <c r="H32" s="597">
        <v>27140</v>
      </c>
      <c r="I32" s="505"/>
      <c r="J32" s="506"/>
      <c r="K32" s="507"/>
      <c r="L32" s="507"/>
      <c r="M32" s="600">
        <f t="shared" si="0"/>
        <v>27140</v>
      </c>
      <c r="N32" s="531" t="s">
        <v>57</v>
      </c>
      <c r="O32" s="509">
        <v>27140</v>
      </c>
    </row>
    <row r="33" spans="1:15" s="510" customFormat="1" ht="18.75" x14ac:dyDescent="0.3">
      <c r="A33" s="28" t="s">
        <v>192</v>
      </c>
      <c r="B33" s="500" t="s">
        <v>597</v>
      </c>
      <c r="C33" s="501" t="s">
        <v>600</v>
      </c>
      <c r="D33" s="502" t="s">
        <v>134</v>
      </c>
      <c r="E33" s="503" t="s">
        <v>54</v>
      </c>
      <c r="F33" s="516" t="s">
        <v>10</v>
      </c>
      <c r="G33" s="504"/>
      <c r="H33" s="537">
        <v>26950</v>
      </c>
      <c r="I33" s="505"/>
      <c r="J33" s="506"/>
      <c r="K33" s="507"/>
      <c r="L33" s="507"/>
      <c r="M33" s="600">
        <f t="shared" si="0"/>
        <v>26950</v>
      </c>
      <c r="N33" s="508" t="s">
        <v>57</v>
      </c>
      <c r="O33" s="509">
        <f t="shared" ref="O33:O45" si="2">+H33+I33-K33</f>
        <v>26950</v>
      </c>
    </row>
    <row r="34" spans="1:15" s="510" customFormat="1" ht="18.75" x14ac:dyDescent="0.3">
      <c r="A34" s="28" t="s">
        <v>193</v>
      </c>
      <c r="B34" s="500" t="s">
        <v>632</v>
      </c>
      <c r="C34" s="501" t="s">
        <v>631</v>
      </c>
      <c r="D34" s="502" t="s">
        <v>183</v>
      </c>
      <c r="E34" s="503" t="s">
        <v>54</v>
      </c>
      <c r="F34" s="516" t="s">
        <v>10</v>
      </c>
      <c r="G34" s="504"/>
      <c r="H34" s="537">
        <v>73700</v>
      </c>
      <c r="I34" s="505"/>
      <c r="J34" s="506"/>
      <c r="K34" s="507"/>
      <c r="L34" s="507"/>
      <c r="M34" s="600">
        <f t="shared" si="0"/>
        <v>73700</v>
      </c>
      <c r="N34" s="508" t="s">
        <v>204</v>
      </c>
      <c r="O34" s="509">
        <f t="shared" si="2"/>
        <v>73700</v>
      </c>
    </row>
    <row r="35" spans="1:15" s="510" customFormat="1" ht="18.75" x14ac:dyDescent="0.3">
      <c r="A35" s="28" t="s">
        <v>195</v>
      </c>
      <c r="B35" s="500" t="s">
        <v>560</v>
      </c>
      <c r="C35" s="501" t="s">
        <v>562</v>
      </c>
      <c r="D35" s="502" t="s">
        <v>186</v>
      </c>
      <c r="E35" s="503" t="s">
        <v>54</v>
      </c>
      <c r="F35" s="516" t="s">
        <v>10</v>
      </c>
      <c r="G35" s="504"/>
      <c r="H35" s="537">
        <v>145300</v>
      </c>
      <c r="I35" s="505"/>
      <c r="J35" s="506"/>
      <c r="K35" s="507"/>
      <c r="L35" s="507"/>
      <c r="M35" s="600">
        <f t="shared" si="0"/>
        <v>145300</v>
      </c>
      <c r="N35" s="508" t="s">
        <v>992</v>
      </c>
      <c r="O35" s="509">
        <f t="shared" si="2"/>
        <v>145300</v>
      </c>
    </row>
    <row r="36" spans="1:15" s="510" customFormat="1" ht="18.75" x14ac:dyDescent="0.3">
      <c r="A36" s="28" t="s">
        <v>200</v>
      </c>
      <c r="B36" s="31" t="s">
        <v>1066</v>
      </c>
      <c r="C36" s="87" t="s">
        <v>1072</v>
      </c>
      <c r="D36" s="320" t="s">
        <v>74</v>
      </c>
      <c r="E36" s="9" t="s">
        <v>54</v>
      </c>
      <c r="F36" s="295" t="s">
        <v>10</v>
      </c>
      <c r="G36" s="326">
        <v>217660</v>
      </c>
      <c r="H36" s="32">
        <f>109440+108820</f>
        <v>218260</v>
      </c>
      <c r="I36" s="505"/>
      <c r="J36" s="506"/>
      <c r="K36" s="507"/>
      <c r="L36" s="201">
        <f>'8301'!H14</f>
        <v>213850</v>
      </c>
      <c r="M36" s="362">
        <f t="shared" si="0"/>
        <v>4410</v>
      </c>
      <c r="N36" s="274" t="s">
        <v>315</v>
      </c>
      <c r="O36" s="65">
        <f t="shared" si="2"/>
        <v>218260</v>
      </c>
    </row>
    <row r="37" spans="1:15" s="510" customFormat="1" ht="18.75" x14ac:dyDescent="0.3">
      <c r="A37" s="28" t="s">
        <v>202</v>
      </c>
      <c r="B37" s="31" t="s">
        <v>1076</v>
      </c>
      <c r="C37" s="20" t="s">
        <v>1078</v>
      </c>
      <c r="D37" s="320" t="s">
        <v>74</v>
      </c>
      <c r="E37" s="9" t="s">
        <v>54</v>
      </c>
      <c r="F37" s="295" t="s">
        <v>10</v>
      </c>
      <c r="G37" s="326">
        <v>265650</v>
      </c>
      <c r="H37" s="32">
        <f>159780+106990</f>
        <v>266770</v>
      </c>
      <c r="I37" s="505"/>
      <c r="J37" s="506"/>
      <c r="K37" s="507"/>
      <c r="L37" s="5"/>
      <c r="M37" s="362">
        <f t="shared" si="0"/>
        <v>266770</v>
      </c>
      <c r="N37" s="274"/>
      <c r="O37" s="65">
        <f t="shared" si="2"/>
        <v>266770</v>
      </c>
    </row>
    <row r="38" spans="1:15" s="510" customFormat="1" ht="18.75" x14ac:dyDescent="0.3">
      <c r="A38" s="28" t="s">
        <v>203</v>
      </c>
      <c r="B38" s="31" t="s">
        <v>1091</v>
      </c>
      <c r="C38" s="20" t="s">
        <v>1092</v>
      </c>
      <c r="D38" s="320" t="s">
        <v>74</v>
      </c>
      <c r="E38" s="9" t="s">
        <v>54</v>
      </c>
      <c r="F38" s="295" t="s">
        <v>10</v>
      </c>
      <c r="G38" s="326">
        <v>104480</v>
      </c>
      <c r="H38" s="32">
        <f>105250</f>
        <v>105250</v>
      </c>
      <c r="I38" s="505"/>
      <c r="J38" s="506"/>
      <c r="K38" s="507"/>
      <c r="L38" s="5"/>
      <c r="M38" s="362">
        <f t="shared" si="0"/>
        <v>105250</v>
      </c>
      <c r="N38" s="274" t="s">
        <v>329</v>
      </c>
      <c r="O38" s="65">
        <f t="shared" si="2"/>
        <v>105250</v>
      </c>
    </row>
    <row r="39" spans="1:15" s="510" customFormat="1" ht="18.75" x14ac:dyDescent="0.3">
      <c r="A39" s="28" t="s">
        <v>225</v>
      </c>
      <c r="B39" s="31" t="s">
        <v>1095</v>
      </c>
      <c r="C39" s="20" t="s">
        <v>1097</v>
      </c>
      <c r="D39" s="320" t="s">
        <v>134</v>
      </c>
      <c r="E39" s="9" t="s">
        <v>54</v>
      </c>
      <c r="F39" s="295" t="s">
        <v>10</v>
      </c>
      <c r="G39" s="326">
        <v>203240</v>
      </c>
      <c r="H39" s="32">
        <f>153190+51430</f>
        <v>204620</v>
      </c>
      <c r="I39" s="505"/>
      <c r="J39" s="506"/>
      <c r="K39" s="507"/>
      <c r="L39" s="5"/>
      <c r="M39" s="362">
        <f t="shared" si="0"/>
        <v>204620</v>
      </c>
      <c r="N39" s="274" t="s">
        <v>315</v>
      </c>
      <c r="O39" s="65">
        <f t="shared" si="2"/>
        <v>204620</v>
      </c>
    </row>
    <row r="40" spans="1:15" s="510" customFormat="1" ht="18.75" x14ac:dyDescent="0.3">
      <c r="A40" s="28" t="s">
        <v>226</v>
      </c>
      <c r="B40" s="31" t="s">
        <v>1127</v>
      </c>
      <c r="C40" s="20" t="s">
        <v>1129</v>
      </c>
      <c r="D40" s="305" t="s">
        <v>134</v>
      </c>
      <c r="E40" s="9" t="s">
        <v>54</v>
      </c>
      <c r="F40" s="295" t="s">
        <v>10</v>
      </c>
      <c r="G40" s="361">
        <v>520510</v>
      </c>
      <c r="H40" s="311">
        <f>102940+131090+159090+131540</f>
        <v>524660</v>
      </c>
      <c r="I40" s="25"/>
      <c r="J40" s="14"/>
      <c r="K40" s="5"/>
      <c r="L40" s="5"/>
      <c r="M40" s="362">
        <f t="shared" si="0"/>
        <v>524660</v>
      </c>
      <c r="N40" s="316" t="s">
        <v>681</v>
      </c>
      <c r="O40" s="65">
        <f t="shared" si="2"/>
        <v>524660</v>
      </c>
    </row>
    <row r="41" spans="1:15" s="510" customFormat="1" ht="18.75" x14ac:dyDescent="0.3">
      <c r="A41" s="28" t="s">
        <v>227</v>
      </c>
      <c r="B41" s="31" t="s">
        <v>1135</v>
      </c>
      <c r="C41" s="20" t="s">
        <v>1136</v>
      </c>
      <c r="D41" s="305" t="s">
        <v>74</v>
      </c>
      <c r="E41" s="9" t="s">
        <v>54</v>
      </c>
      <c r="F41" s="295" t="s">
        <v>10</v>
      </c>
      <c r="G41" s="361">
        <v>221840</v>
      </c>
      <c r="H41" s="311">
        <f>137610+84810</f>
        <v>222420</v>
      </c>
      <c r="I41" s="25"/>
      <c r="J41" s="14"/>
      <c r="K41" s="5"/>
      <c r="L41" s="5"/>
      <c r="M41" s="362">
        <f t="shared" si="0"/>
        <v>222420</v>
      </c>
      <c r="N41" s="316" t="s">
        <v>315</v>
      </c>
      <c r="O41" s="65">
        <f t="shared" si="2"/>
        <v>222420</v>
      </c>
    </row>
    <row r="42" spans="1:15" s="510" customFormat="1" ht="18.75" x14ac:dyDescent="0.3">
      <c r="A42" s="28" t="s">
        <v>228</v>
      </c>
      <c r="B42" s="31"/>
      <c r="C42" s="20"/>
      <c r="D42" s="305"/>
      <c r="E42" s="9" t="s">
        <v>54</v>
      </c>
      <c r="F42" s="295" t="s">
        <v>10</v>
      </c>
      <c r="G42" s="361"/>
      <c r="H42" s="372"/>
      <c r="I42" s="25"/>
      <c r="J42" s="14"/>
      <c r="K42" s="5"/>
      <c r="L42" s="5"/>
      <c r="M42" s="362"/>
      <c r="N42" s="316"/>
      <c r="O42" s="65"/>
    </row>
    <row r="43" spans="1:15" s="510" customFormat="1" ht="18.75" x14ac:dyDescent="0.3">
      <c r="A43" s="28" t="s">
        <v>229</v>
      </c>
      <c r="B43" s="31"/>
      <c r="C43" s="20"/>
      <c r="D43" s="305"/>
      <c r="E43" s="9" t="s">
        <v>54</v>
      </c>
      <c r="F43" s="295" t="s">
        <v>10</v>
      </c>
      <c r="G43" s="361"/>
      <c r="H43" s="372"/>
      <c r="I43" s="25"/>
      <c r="J43" s="14"/>
      <c r="K43" s="5"/>
      <c r="L43" s="5"/>
      <c r="M43" s="362"/>
      <c r="N43" s="316"/>
      <c r="O43" s="65"/>
    </row>
    <row r="44" spans="1:15" s="510" customFormat="1" ht="18.75" x14ac:dyDescent="0.3">
      <c r="A44" s="28" t="s">
        <v>230</v>
      </c>
      <c r="B44" s="31"/>
      <c r="C44" s="20"/>
      <c r="D44" s="305"/>
      <c r="E44" s="9" t="s">
        <v>54</v>
      </c>
      <c r="F44" s="295" t="s">
        <v>10</v>
      </c>
      <c r="G44" s="361"/>
      <c r="H44" s="372"/>
      <c r="I44" s="25"/>
      <c r="J44" s="14"/>
      <c r="K44" s="5"/>
      <c r="L44" s="5"/>
      <c r="M44" s="362"/>
      <c r="N44" s="316"/>
      <c r="O44" s="65"/>
    </row>
    <row r="45" spans="1:15" s="3" customFormat="1" ht="18.75" x14ac:dyDescent="0.3">
      <c r="A45" s="28" t="s">
        <v>231</v>
      </c>
      <c r="B45" s="31"/>
      <c r="C45" s="20"/>
      <c r="D45" s="305"/>
      <c r="E45" s="9" t="s">
        <v>54</v>
      </c>
      <c r="F45" s="295" t="s">
        <v>10</v>
      </c>
      <c r="G45" s="361"/>
      <c r="H45" s="372"/>
      <c r="I45" s="25"/>
      <c r="J45" s="14"/>
      <c r="K45" s="5"/>
      <c r="L45" s="5"/>
      <c r="M45" s="362">
        <f>+H45+J45-L45</f>
        <v>0</v>
      </c>
      <c r="N45" s="316"/>
      <c r="O45" s="65">
        <f t="shared" si="2"/>
        <v>0</v>
      </c>
    </row>
    <row r="46" spans="1:15" s="3" customFormat="1" ht="20.25" x14ac:dyDescent="0.3">
      <c r="A46" s="742" t="s">
        <v>5</v>
      </c>
      <c r="B46" s="743"/>
      <c r="C46" s="743"/>
      <c r="D46" s="743"/>
      <c r="E46" s="743"/>
      <c r="F46" s="744"/>
      <c r="G46" s="339">
        <f>SUM(G6:G45)</f>
        <v>3415673</v>
      </c>
      <c r="H46" s="312">
        <f>SUM(H6:H45)</f>
        <v>7779060</v>
      </c>
      <c r="I46" s="26"/>
      <c r="J46" s="6"/>
      <c r="K46" s="6"/>
      <c r="L46" s="6"/>
      <c r="M46" s="66">
        <f>SUM(M6:M45)</f>
        <v>7251250</v>
      </c>
      <c r="N46" s="316"/>
      <c r="O46" s="66">
        <f>SUM(O6:O45)</f>
        <v>7779060</v>
      </c>
    </row>
    <row r="47" spans="1:15" s="3" customFormat="1" x14ac:dyDescent="0.35">
      <c r="A47" s="29"/>
      <c r="B47" s="29"/>
      <c r="C47" s="15"/>
      <c r="D47" s="303"/>
      <c r="E47"/>
      <c r="F47" s="206"/>
      <c r="G47" s="306"/>
      <c r="H47" s="309"/>
      <c r="I47" s="19"/>
      <c r="J47" s="19"/>
      <c r="K47" s="19"/>
      <c r="L47" s="19"/>
      <c r="M47" s="19"/>
      <c r="N47" s="641"/>
      <c r="O47"/>
    </row>
    <row r="48" spans="1:15" s="3" customFormat="1" x14ac:dyDescent="0.35">
      <c r="A48" s="29"/>
      <c r="B48" s="29"/>
      <c r="C48" s="15"/>
      <c r="D48" s="303"/>
      <c r="E48"/>
      <c r="F48" s="206"/>
      <c r="G48" s="306"/>
      <c r="H48" s="309"/>
      <c r="I48" s="19"/>
      <c r="J48" s="19"/>
      <c r="K48" s="19"/>
      <c r="L48" s="19"/>
      <c r="M48" s="19"/>
      <c r="N48" s="641"/>
      <c r="O48"/>
    </row>
    <row r="49" spans="1:15" s="3" customFormat="1" x14ac:dyDescent="0.35">
      <c r="A49" s="29"/>
      <c r="B49" s="29"/>
      <c r="C49" s="15"/>
      <c r="D49" s="303"/>
      <c r="E49"/>
      <c r="F49" s="206"/>
      <c r="G49" s="306"/>
      <c r="H49" s="309"/>
      <c r="I49" s="19"/>
      <c r="J49" s="19"/>
      <c r="K49" s="19"/>
      <c r="L49" s="19"/>
      <c r="M49" s="19"/>
      <c r="N49" s="641"/>
      <c r="O49"/>
    </row>
    <row r="50" spans="1:15" s="3" customFormat="1" x14ac:dyDescent="0.35">
      <c r="A50" s="29"/>
      <c r="B50" s="29"/>
      <c r="C50" s="15"/>
      <c r="D50" s="303"/>
      <c r="E50"/>
      <c r="F50" s="206"/>
      <c r="G50" s="306"/>
      <c r="H50" s="309"/>
      <c r="I50" s="19"/>
      <c r="J50" s="19"/>
      <c r="K50" s="19"/>
      <c r="L50" s="19"/>
      <c r="M50" s="19"/>
      <c r="N50" s="641"/>
      <c r="O50"/>
    </row>
    <row r="51" spans="1:15" s="3" customFormat="1" x14ac:dyDescent="0.35">
      <c r="A51" s="29"/>
      <c r="B51" s="29"/>
      <c r="C51" s="15"/>
      <c r="D51" s="303"/>
      <c r="E51"/>
      <c r="F51" s="206"/>
      <c r="G51" s="306"/>
      <c r="H51" s="309"/>
      <c r="I51" s="19"/>
      <c r="J51" s="19"/>
      <c r="K51" s="19"/>
      <c r="L51" s="19"/>
      <c r="M51" s="19"/>
      <c r="N51" s="641"/>
      <c r="O51"/>
    </row>
    <row r="52" spans="1:15" s="3" customFormat="1" x14ac:dyDescent="0.35">
      <c r="A52" s="29"/>
      <c r="B52" s="29"/>
      <c r="C52" s="15"/>
      <c r="D52" s="303"/>
      <c r="E52"/>
      <c r="F52" s="206"/>
      <c r="G52" s="306"/>
      <c r="H52" s="309"/>
      <c r="I52" s="19"/>
      <c r="J52" s="19"/>
      <c r="K52" s="19"/>
      <c r="L52" s="19"/>
      <c r="M52" s="19"/>
      <c r="N52" s="641"/>
      <c r="O52"/>
    </row>
    <row r="53" spans="1:15" s="3" customFormat="1" x14ac:dyDescent="0.35">
      <c r="A53" s="29"/>
      <c r="B53" s="29"/>
      <c r="C53" s="15"/>
      <c r="D53" s="303"/>
      <c r="E53"/>
      <c r="F53" s="206"/>
      <c r="G53" s="306"/>
      <c r="H53" s="309"/>
      <c r="I53" s="19"/>
      <c r="J53" s="19"/>
      <c r="K53" s="19"/>
      <c r="L53" s="19"/>
      <c r="M53" s="19"/>
      <c r="N53" s="641"/>
      <c r="O53"/>
    </row>
    <row r="54" spans="1:15" s="3" customFormat="1" x14ac:dyDescent="0.35">
      <c r="A54" s="29"/>
      <c r="B54" s="29"/>
      <c r="C54" s="15"/>
      <c r="D54" s="303"/>
      <c r="E54"/>
      <c r="F54" s="206"/>
      <c r="G54" s="306"/>
      <c r="H54" s="309"/>
      <c r="I54" s="19"/>
      <c r="J54" s="19"/>
      <c r="K54" s="19"/>
      <c r="L54" s="19"/>
      <c r="M54" s="19"/>
      <c r="N54" s="641"/>
      <c r="O54"/>
    </row>
    <row r="55" spans="1:15" s="3" customFormat="1" x14ac:dyDescent="0.35">
      <c r="A55" s="29"/>
      <c r="B55" s="29"/>
      <c r="C55" s="15"/>
      <c r="D55" s="303"/>
      <c r="E55"/>
      <c r="F55" s="206"/>
      <c r="G55" s="306"/>
      <c r="H55" s="309"/>
      <c r="I55" s="19"/>
      <c r="J55" s="19"/>
      <c r="K55" s="19"/>
      <c r="L55" s="19"/>
      <c r="M55" s="19"/>
      <c r="N55" s="641"/>
      <c r="O55"/>
    </row>
    <row r="56" spans="1:15" s="3" customFormat="1" x14ac:dyDescent="0.35">
      <c r="A56" s="29"/>
      <c r="B56" s="29"/>
      <c r="C56" s="15"/>
      <c r="D56" s="303"/>
      <c r="E56"/>
      <c r="F56" s="206"/>
      <c r="G56" s="306"/>
      <c r="H56" s="309"/>
      <c r="I56" s="19"/>
      <c r="J56" s="19"/>
      <c r="K56" s="19"/>
      <c r="L56" s="19"/>
      <c r="M56" s="19"/>
      <c r="N56" s="641"/>
      <c r="O56"/>
    </row>
    <row r="57" spans="1:15" s="3" customFormat="1" x14ac:dyDescent="0.35">
      <c r="A57" s="29"/>
      <c r="B57" s="29"/>
      <c r="C57" s="15"/>
      <c r="D57" s="303"/>
      <c r="E57"/>
      <c r="F57" s="206"/>
      <c r="G57" s="306"/>
      <c r="H57" s="309"/>
      <c r="I57" s="19"/>
      <c r="J57" s="19"/>
      <c r="K57" s="19"/>
      <c r="L57" s="19"/>
      <c r="M57" s="19"/>
      <c r="N57" s="641"/>
      <c r="O57"/>
    </row>
    <row r="58" spans="1:15" s="3" customFormat="1" x14ac:dyDescent="0.35">
      <c r="A58" s="29"/>
      <c r="B58" s="29"/>
      <c r="C58" s="15"/>
      <c r="D58" s="303"/>
      <c r="E58"/>
      <c r="F58" s="206"/>
      <c r="G58" s="306"/>
      <c r="H58" s="309"/>
      <c r="I58" s="19"/>
      <c r="J58" s="19"/>
      <c r="K58" s="19"/>
      <c r="L58" s="19"/>
      <c r="M58" s="19"/>
      <c r="N58" s="641"/>
      <c r="O58"/>
    </row>
    <row r="59" spans="1:15" s="3" customFormat="1" x14ac:dyDescent="0.35">
      <c r="A59" s="29"/>
      <c r="B59" s="29"/>
      <c r="C59" s="15"/>
      <c r="D59" s="303"/>
      <c r="E59"/>
      <c r="F59" s="206"/>
      <c r="G59" s="306"/>
      <c r="H59" s="309"/>
      <c r="I59" s="19"/>
      <c r="J59" s="19"/>
      <c r="K59" s="19"/>
      <c r="L59" s="19"/>
      <c r="M59" s="19"/>
      <c r="N59" s="641"/>
      <c r="O59"/>
    </row>
    <row r="60" spans="1:15" s="3" customFormat="1" x14ac:dyDescent="0.35">
      <c r="A60" s="29"/>
      <c r="B60" s="29"/>
      <c r="C60" s="15"/>
      <c r="D60" s="303"/>
      <c r="E60"/>
      <c r="F60" s="206"/>
      <c r="G60" s="306"/>
      <c r="H60" s="309"/>
      <c r="I60" s="19"/>
      <c r="J60" s="19"/>
      <c r="K60" s="19"/>
      <c r="L60" s="19"/>
      <c r="M60" s="19"/>
      <c r="N60" s="641"/>
      <c r="O60"/>
    </row>
    <row r="61" spans="1:15" s="3" customFormat="1" x14ac:dyDescent="0.35">
      <c r="A61" s="29"/>
      <c r="B61" s="29"/>
      <c r="C61" s="15"/>
      <c r="D61" s="303"/>
      <c r="E61"/>
      <c r="F61" s="206"/>
      <c r="G61" s="306"/>
      <c r="H61" s="309"/>
      <c r="I61" s="19"/>
      <c r="J61" s="19"/>
      <c r="K61" s="19"/>
      <c r="L61" s="19"/>
      <c r="M61" s="19"/>
      <c r="N61" s="641"/>
      <c r="O61"/>
    </row>
    <row r="62" spans="1:15" s="3" customFormat="1" x14ac:dyDescent="0.35">
      <c r="A62" s="29"/>
      <c r="B62" s="29"/>
      <c r="C62" s="15"/>
      <c r="D62" s="303"/>
      <c r="E62"/>
      <c r="F62" s="206"/>
      <c r="G62" s="306"/>
      <c r="H62" s="309"/>
      <c r="I62" s="19"/>
      <c r="J62" s="19"/>
      <c r="K62" s="19"/>
      <c r="L62" s="19"/>
      <c r="M62" s="19"/>
      <c r="N62" s="641"/>
      <c r="O62"/>
    </row>
    <row r="63" spans="1:15" s="3" customFormat="1" x14ac:dyDescent="0.35">
      <c r="A63" s="29"/>
      <c r="B63" s="29"/>
      <c r="C63" s="15"/>
      <c r="D63" s="303"/>
      <c r="E63"/>
      <c r="F63" s="206"/>
      <c r="G63" s="306"/>
      <c r="H63" s="309"/>
      <c r="I63" s="19"/>
      <c r="J63" s="19"/>
      <c r="K63" s="19"/>
      <c r="L63" s="19"/>
      <c r="M63" s="19"/>
      <c r="N63" s="641"/>
      <c r="O63"/>
    </row>
    <row r="64" spans="1:15" s="3" customFormat="1" x14ac:dyDescent="0.35">
      <c r="A64" s="29"/>
      <c r="B64" s="29"/>
      <c r="C64" s="15"/>
      <c r="D64" s="303"/>
      <c r="E64"/>
      <c r="F64" s="206"/>
      <c r="G64" s="306"/>
      <c r="H64" s="309"/>
      <c r="I64" s="19"/>
      <c r="J64" s="19"/>
      <c r="K64" s="19"/>
      <c r="L64" s="19"/>
      <c r="M64" s="19"/>
      <c r="N64" s="641"/>
      <c r="O64"/>
    </row>
    <row r="65" spans="1:15" s="3" customFormat="1" x14ac:dyDescent="0.35">
      <c r="A65" s="29"/>
      <c r="B65" s="29"/>
      <c r="C65" s="15"/>
      <c r="D65" s="303"/>
      <c r="E65"/>
      <c r="F65" s="206"/>
      <c r="G65" s="306"/>
      <c r="H65" s="309"/>
      <c r="I65" s="19"/>
      <c r="J65" s="19"/>
      <c r="K65" s="19"/>
      <c r="L65" s="19"/>
      <c r="M65" s="19"/>
      <c r="N65" s="641"/>
      <c r="O65"/>
    </row>
    <row r="66" spans="1:15" s="4" customFormat="1" x14ac:dyDescent="0.35">
      <c r="A66" s="29"/>
      <c r="B66" s="29"/>
      <c r="C66" s="15"/>
      <c r="D66" s="303"/>
      <c r="E66"/>
      <c r="F66" s="206"/>
      <c r="G66" s="306"/>
      <c r="H66" s="309"/>
      <c r="I66" s="19"/>
      <c r="J66" s="19"/>
      <c r="K66" s="19"/>
      <c r="L66" s="19"/>
      <c r="M66" s="19"/>
      <c r="N66" s="641"/>
      <c r="O66"/>
    </row>
  </sheetData>
  <mergeCells count="8">
    <mergeCell ref="A46:F46"/>
    <mergeCell ref="A1:O1"/>
    <mergeCell ref="A4:A5"/>
    <mergeCell ref="B4:B5"/>
    <mergeCell ref="C4:C5"/>
    <mergeCell ref="I4:J4"/>
    <mergeCell ref="K4:L4"/>
    <mergeCell ref="N4:N5"/>
  </mergeCells>
  <hyperlinks>
    <hyperlink ref="C23" location="'GREENTEC A6'!A1" display="104467090231(GREENTECA6)"/>
    <hyperlink ref="C36" location="'8301'!A1" display="104867907801(ONEYTEMC01288301)"/>
  </hyperlinks>
  <pageMargins left="0.7" right="0.7" top="0.75" bottom="0.75" header="0.3" footer="0.3"/>
  <pageSetup scale="4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O30"/>
  <sheetViews>
    <sheetView showGridLines="0" topLeftCell="A4" workbookViewId="0">
      <pane xSplit="3" ySplit="2" topLeftCell="D6" activePane="bottomRight" state="frozen"/>
      <selection activeCell="J19" sqref="J19"/>
      <selection pane="topRight" activeCell="J19" sqref="J19"/>
      <selection pane="bottomLeft" activeCell="J19" sqref="J19"/>
      <selection pane="bottomRight" activeCell="A37" sqref="A37"/>
    </sheetView>
  </sheetViews>
  <sheetFormatPr defaultRowHeight="15.75" x14ac:dyDescent="0.25"/>
  <cols>
    <col min="1" max="1" width="4.7109375" style="29" customWidth="1"/>
    <col min="2" max="2" width="10.42578125" style="29" customWidth="1"/>
    <col min="3" max="3" width="37" style="15" customWidth="1"/>
    <col min="4" max="4" width="8.28515625" style="29" customWidth="1"/>
    <col min="5" max="5" width="17.140625" customWidth="1"/>
    <col min="6" max="6" width="4.85546875" customWidth="1"/>
    <col min="7" max="7" width="14.5703125" style="34" customWidth="1"/>
    <col min="8" max="8" width="15" style="116" customWidth="1"/>
    <col min="9" max="9" width="11" style="19" customWidth="1"/>
    <col min="10" max="10" width="12" style="19" customWidth="1"/>
    <col min="11" max="11" width="10.28515625" style="19" customWidth="1"/>
    <col min="12" max="12" width="14.85546875" style="19" bestFit="1" customWidth="1"/>
    <col min="13" max="13" width="16.5703125" style="19" customWidth="1"/>
    <col min="14" max="14" width="17.7109375" bestFit="1" customWidth="1"/>
    <col min="15" max="15" width="16" customWidth="1"/>
  </cols>
  <sheetData>
    <row r="1" spans="1:15" ht="34.5" x14ac:dyDescent="0.45">
      <c r="A1" s="745" t="s">
        <v>63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1:15" ht="16.5" x14ac:dyDescent="0.25">
      <c r="A2" s="129"/>
      <c r="B2" s="129"/>
      <c r="C2" s="99"/>
      <c r="D2" s="129"/>
      <c r="E2" s="3"/>
      <c r="F2" s="3"/>
      <c r="G2" s="166"/>
      <c r="H2" s="198"/>
      <c r="I2" s="384"/>
      <c r="J2" s="384"/>
      <c r="K2" s="384"/>
      <c r="L2" s="385" t="s">
        <v>62</v>
      </c>
      <c r="M2" s="386">
        <f ca="1">TODAY()</f>
        <v>44848</v>
      </c>
      <c r="N2" s="3"/>
      <c r="O2" s="3"/>
    </row>
    <row r="3" spans="1:15" s="52" customFormat="1" x14ac:dyDescent="0.25">
      <c r="A3" s="45"/>
      <c r="B3" s="45"/>
      <c r="C3" s="46"/>
      <c r="D3" s="45"/>
      <c r="E3" s="44" t="s">
        <v>43</v>
      </c>
      <c r="F3" s="47"/>
      <c r="G3" s="324"/>
      <c r="H3" s="48" t="s">
        <v>111</v>
      </c>
      <c r="I3" s="49" t="s">
        <v>110</v>
      </c>
      <c r="J3" s="50"/>
      <c r="K3" s="49"/>
      <c r="L3" s="51"/>
    </row>
    <row r="4" spans="1:15" s="1" customFormat="1" ht="52.5" customHeight="1" x14ac:dyDescent="0.3">
      <c r="A4" s="746" t="s">
        <v>0</v>
      </c>
      <c r="B4" s="750" t="s">
        <v>37</v>
      </c>
      <c r="C4" s="750" t="s">
        <v>39</v>
      </c>
      <c r="D4" s="377" t="s">
        <v>64</v>
      </c>
      <c r="E4" s="379" t="s">
        <v>3</v>
      </c>
      <c r="F4" s="379" t="s">
        <v>4</v>
      </c>
      <c r="G4" s="308" t="s">
        <v>743</v>
      </c>
      <c r="H4" s="135" t="s">
        <v>6</v>
      </c>
      <c r="I4" s="752" t="s">
        <v>7</v>
      </c>
      <c r="J4" s="753"/>
      <c r="K4" s="752" t="s">
        <v>8</v>
      </c>
      <c r="L4" s="753"/>
      <c r="M4" s="376" t="s">
        <v>55</v>
      </c>
      <c r="N4" s="202" t="s">
        <v>1</v>
      </c>
      <c r="O4" s="62" t="s">
        <v>9</v>
      </c>
    </row>
    <row r="5" spans="1:15" s="1" customFormat="1" ht="19.5" customHeight="1" x14ac:dyDescent="0.3">
      <c r="A5" s="747"/>
      <c r="B5" s="751"/>
      <c r="C5" s="751"/>
      <c r="D5" s="378"/>
      <c r="E5" s="380"/>
      <c r="F5" s="380"/>
      <c r="G5" s="325" t="s">
        <v>13</v>
      </c>
      <c r="H5" s="21" t="s">
        <v>13</v>
      </c>
      <c r="I5" s="21" t="s">
        <v>51</v>
      </c>
      <c r="J5" s="21" t="s">
        <v>53</v>
      </c>
      <c r="K5" s="21" t="s">
        <v>51</v>
      </c>
      <c r="L5" s="21" t="s">
        <v>52</v>
      </c>
      <c r="M5" s="21" t="s">
        <v>13</v>
      </c>
      <c r="N5" s="7"/>
      <c r="O5" s="64" t="s">
        <v>13</v>
      </c>
    </row>
    <row r="6" spans="1:15" s="3" customFormat="1" ht="19.5" x14ac:dyDescent="0.3">
      <c r="A6" s="28" t="s">
        <v>954</v>
      </c>
      <c r="B6" s="31"/>
      <c r="C6" s="20"/>
      <c r="D6" s="320"/>
      <c r="E6" s="9" t="s">
        <v>54</v>
      </c>
      <c r="F6" s="9" t="s">
        <v>10</v>
      </c>
      <c r="G6" s="337"/>
      <c r="H6" s="372"/>
      <c r="I6" s="25"/>
      <c r="J6" s="14"/>
      <c r="K6" s="5"/>
      <c r="L6" s="5"/>
      <c r="M6" s="14">
        <f>+H6+J6-L6</f>
        <v>0</v>
      </c>
      <c r="N6" s="274"/>
      <c r="O6" s="65"/>
    </row>
    <row r="7" spans="1:15" s="3" customFormat="1" ht="19.5" x14ac:dyDescent="0.3">
      <c r="A7" s="28" t="s">
        <v>955</v>
      </c>
      <c r="B7" s="31"/>
      <c r="C7" s="20"/>
      <c r="D7" s="320"/>
      <c r="E7" s="9" t="s">
        <v>54</v>
      </c>
      <c r="F7" s="9" t="s">
        <v>10</v>
      </c>
      <c r="G7" s="337"/>
      <c r="H7" s="372"/>
      <c r="I7" s="25"/>
      <c r="J7" s="14"/>
      <c r="K7" s="5"/>
      <c r="L7" s="5"/>
      <c r="M7" s="14">
        <f>+H7+J7-L7</f>
        <v>0</v>
      </c>
      <c r="N7" s="274"/>
      <c r="O7" s="65"/>
    </row>
    <row r="8" spans="1:15" s="3" customFormat="1" ht="19.5" x14ac:dyDescent="0.3">
      <c r="A8" s="28" t="s">
        <v>850</v>
      </c>
      <c r="B8" s="31"/>
      <c r="C8" s="20"/>
      <c r="D8" s="320"/>
      <c r="E8" s="9" t="s">
        <v>54</v>
      </c>
      <c r="F8" s="9" t="s">
        <v>10</v>
      </c>
      <c r="G8" s="337"/>
      <c r="H8" s="372"/>
      <c r="I8" s="25"/>
      <c r="J8" s="14"/>
      <c r="K8" s="5"/>
      <c r="L8" s="5"/>
      <c r="M8" s="14">
        <f>+H8+J8-L8</f>
        <v>0</v>
      </c>
      <c r="N8" s="274"/>
      <c r="O8" s="65">
        <f>+H8+I8-K8</f>
        <v>0</v>
      </c>
    </row>
    <row r="9" spans="1:15" s="3" customFormat="1" ht="19.5" x14ac:dyDescent="0.3">
      <c r="A9" s="28" t="s">
        <v>851</v>
      </c>
      <c r="B9" s="31"/>
      <c r="C9" s="20"/>
      <c r="D9" s="320"/>
      <c r="E9" s="9" t="s">
        <v>54</v>
      </c>
      <c r="F9" s="9" t="s">
        <v>10</v>
      </c>
      <c r="G9" s="337"/>
      <c r="H9" s="372"/>
      <c r="I9" s="25"/>
      <c r="J9" s="14"/>
      <c r="K9" s="11"/>
      <c r="L9" s="5"/>
      <c r="M9" s="14">
        <f>+H9+J9-L9</f>
        <v>0</v>
      </c>
      <c r="N9" s="319"/>
      <c r="O9" s="65">
        <f>+H9+I9-K9</f>
        <v>0</v>
      </c>
    </row>
    <row r="10" spans="1:15" s="3" customFormat="1" ht="20.25" x14ac:dyDescent="0.3">
      <c r="A10" s="802" t="s">
        <v>5</v>
      </c>
      <c r="B10" s="803"/>
      <c r="C10" s="803"/>
      <c r="D10" s="803"/>
      <c r="E10" s="803"/>
      <c r="F10" s="804"/>
      <c r="G10" s="328">
        <f>SUM(G6:G9)</f>
        <v>0</v>
      </c>
      <c r="H10" s="132">
        <f>SUM(H6:H9)</f>
        <v>0</v>
      </c>
      <c r="I10" s="26"/>
      <c r="J10" s="6"/>
      <c r="K10" s="6"/>
      <c r="L10" s="6"/>
      <c r="M10" s="66">
        <f>SUM(M6:M9)</f>
        <v>0</v>
      </c>
      <c r="N10" s="319"/>
      <c r="O10" s="66">
        <f>SUM(O6:O9)</f>
        <v>0</v>
      </c>
    </row>
    <row r="11" spans="1:15" s="3" customFormat="1" x14ac:dyDescent="0.25">
      <c r="A11" s="29"/>
      <c r="B11" s="29"/>
      <c r="C11" s="15"/>
      <c r="D11" s="29"/>
      <c r="E11"/>
      <c r="F11"/>
      <c r="G11" s="34"/>
      <c r="H11" s="116"/>
      <c r="I11" s="19"/>
      <c r="J11" s="19"/>
      <c r="K11" s="19"/>
      <c r="L11" s="19"/>
      <c r="M11" s="19"/>
      <c r="N11"/>
      <c r="O11"/>
    </row>
    <row r="12" spans="1:15" s="3" customFormat="1" x14ac:dyDescent="0.25">
      <c r="A12" s="29"/>
      <c r="B12" s="29"/>
      <c r="C12" s="15"/>
      <c r="D12" s="29"/>
      <c r="E12"/>
      <c r="F12"/>
      <c r="G12" s="34"/>
      <c r="H12" s="116"/>
      <c r="I12" s="19"/>
      <c r="J12" s="19"/>
      <c r="K12" s="19"/>
      <c r="L12" s="19"/>
      <c r="M12" s="19"/>
      <c r="N12"/>
      <c r="O12"/>
    </row>
    <row r="13" spans="1:15" s="3" customFormat="1" x14ac:dyDescent="0.25">
      <c r="A13" s="29"/>
      <c r="B13" s="29"/>
      <c r="C13" s="15"/>
      <c r="D13" s="29"/>
      <c r="E13"/>
      <c r="F13"/>
      <c r="G13" s="34"/>
      <c r="H13" s="116"/>
      <c r="I13" s="19"/>
      <c r="J13" s="541"/>
      <c r="K13" s="19"/>
      <c r="L13" s="542"/>
      <c r="M13" s="19"/>
      <c r="N13"/>
      <c r="O13"/>
    </row>
    <row r="14" spans="1:15" s="3" customFormat="1" x14ac:dyDescent="0.25">
      <c r="A14" s="29"/>
      <c r="B14" s="29"/>
      <c r="C14" s="15"/>
      <c r="D14" s="29"/>
      <c r="E14"/>
      <c r="F14"/>
      <c r="G14" s="34"/>
      <c r="H14" s="116"/>
      <c r="I14" s="19"/>
      <c r="J14" s="19"/>
      <c r="K14" s="19"/>
      <c r="L14" s="19"/>
      <c r="M14" s="19"/>
      <c r="N14"/>
      <c r="O14"/>
    </row>
    <row r="15" spans="1:15" s="3" customFormat="1" x14ac:dyDescent="0.25">
      <c r="A15" s="29"/>
      <c r="B15" s="29"/>
      <c r="C15" s="15"/>
      <c r="D15" s="29"/>
      <c r="E15"/>
      <c r="F15"/>
      <c r="G15" s="34"/>
      <c r="H15" s="116"/>
      <c r="I15" s="19"/>
      <c r="J15" s="19"/>
      <c r="K15" s="19"/>
      <c r="L15" s="19"/>
      <c r="M15" s="19"/>
      <c r="N15"/>
      <c r="O15"/>
    </row>
    <row r="16" spans="1:15" s="3" customFormat="1" x14ac:dyDescent="0.25">
      <c r="A16" s="29"/>
      <c r="B16" s="29"/>
      <c r="C16" s="15"/>
      <c r="D16" s="29"/>
      <c r="E16"/>
      <c r="F16"/>
      <c r="G16" s="34"/>
      <c r="H16" s="116"/>
      <c r="I16" s="19"/>
      <c r="J16" s="19"/>
      <c r="K16" s="19"/>
      <c r="L16" s="19"/>
      <c r="M16" s="19"/>
      <c r="N16"/>
      <c r="O16"/>
    </row>
    <row r="17" spans="1:15" s="3" customFormat="1" x14ac:dyDescent="0.25">
      <c r="A17" s="29"/>
      <c r="B17" s="29"/>
      <c r="C17" s="15"/>
      <c r="D17" s="29"/>
      <c r="E17"/>
      <c r="F17"/>
      <c r="G17" s="34"/>
      <c r="H17" s="116"/>
      <c r="I17" s="19"/>
      <c r="J17" s="19"/>
      <c r="K17" s="19"/>
      <c r="L17" s="19"/>
      <c r="M17" s="19"/>
      <c r="N17"/>
      <c r="O17"/>
    </row>
    <row r="18" spans="1:15" s="3" customFormat="1" x14ac:dyDescent="0.25">
      <c r="A18" s="29"/>
      <c r="B18" s="29"/>
      <c r="C18" s="15"/>
      <c r="D18" s="29"/>
      <c r="E18"/>
      <c r="F18"/>
      <c r="G18" s="34"/>
      <c r="H18" s="116"/>
      <c r="I18" s="19"/>
      <c r="J18" s="19"/>
      <c r="K18" s="19"/>
      <c r="L18" s="19"/>
      <c r="M18" s="19"/>
      <c r="N18"/>
      <c r="O18"/>
    </row>
    <row r="19" spans="1:15" s="3" customFormat="1" x14ac:dyDescent="0.25">
      <c r="A19" s="29"/>
      <c r="B19" s="29"/>
      <c r="C19" s="15"/>
      <c r="D19" s="29"/>
      <c r="E19"/>
      <c r="F19"/>
      <c r="G19" s="34"/>
      <c r="H19" s="116"/>
      <c r="I19" s="19"/>
      <c r="J19" s="19"/>
      <c r="K19" s="19"/>
      <c r="L19" s="19"/>
      <c r="M19" s="19"/>
      <c r="N19"/>
      <c r="O19"/>
    </row>
    <row r="20" spans="1:15" s="3" customFormat="1" x14ac:dyDescent="0.25">
      <c r="A20" s="29"/>
      <c r="B20" s="29"/>
      <c r="C20" s="15"/>
      <c r="D20" s="29"/>
      <c r="E20"/>
      <c r="F20"/>
      <c r="G20" s="34"/>
      <c r="H20" s="116"/>
      <c r="I20" s="19"/>
      <c r="J20" s="19"/>
      <c r="K20" s="19"/>
      <c r="L20" s="19"/>
      <c r="M20" s="19"/>
      <c r="N20"/>
      <c r="O20"/>
    </row>
    <row r="21" spans="1:15" s="3" customFormat="1" x14ac:dyDescent="0.25">
      <c r="A21" s="29"/>
      <c r="B21" s="29"/>
      <c r="C21" s="15"/>
      <c r="D21" s="29"/>
      <c r="E21"/>
      <c r="F21"/>
      <c r="G21" s="34"/>
      <c r="H21" s="116"/>
      <c r="I21" s="19"/>
      <c r="J21" s="19"/>
      <c r="K21" s="19"/>
      <c r="L21" s="19"/>
      <c r="M21" s="19"/>
      <c r="N21"/>
      <c r="O21"/>
    </row>
    <row r="22" spans="1:15" s="3" customFormat="1" x14ac:dyDescent="0.25">
      <c r="A22" s="29"/>
      <c r="B22" s="29"/>
      <c r="C22" s="15"/>
      <c r="D22" s="29"/>
      <c r="E22"/>
      <c r="F22"/>
      <c r="G22" s="34"/>
      <c r="H22" s="116"/>
      <c r="I22" s="19"/>
      <c r="J22" s="19"/>
      <c r="K22" s="19"/>
      <c r="L22" s="19"/>
      <c r="M22" s="19"/>
      <c r="N22"/>
      <c r="O22"/>
    </row>
    <row r="23" spans="1:15" s="3" customFormat="1" x14ac:dyDescent="0.25">
      <c r="A23" s="29"/>
      <c r="B23" s="29"/>
      <c r="C23" s="15"/>
      <c r="D23" s="29"/>
      <c r="E23"/>
      <c r="F23"/>
      <c r="G23" s="34"/>
      <c r="H23" s="116"/>
      <c r="I23" s="19"/>
      <c r="J23" s="19"/>
      <c r="K23" s="19"/>
      <c r="L23" s="19"/>
      <c r="M23" s="19"/>
      <c r="N23"/>
      <c r="O23"/>
    </row>
    <row r="24" spans="1:15" s="3" customFormat="1" x14ac:dyDescent="0.25">
      <c r="A24" s="29"/>
      <c r="B24" s="29"/>
      <c r="C24" s="15"/>
      <c r="D24" s="29"/>
      <c r="E24"/>
      <c r="F24"/>
      <c r="G24" s="34"/>
      <c r="H24" s="116"/>
      <c r="I24" s="19"/>
      <c r="J24" s="19"/>
      <c r="K24" s="19"/>
      <c r="L24" s="19"/>
      <c r="M24" s="19"/>
      <c r="N24"/>
      <c r="O24"/>
    </row>
    <row r="25" spans="1:15" s="3" customFormat="1" x14ac:dyDescent="0.25">
      <c r="A25" s="29"/>
      <c r="B25" s="29"/>
      <c r="C25" s="15"/>
      <c r="D25" s="29"/>
      <c r="E25"/>
      <c r="F25"/>
      <c r="G25" s="34"/>
      <c r="H25" s="116"/>
      <c r="I25" s="19"/>
      <c r="J25" s="19"/>
      <c r="K25" s="19"/>
      <c r="L25" s="19"/>
      <c r="M25" s="19"/>
      <c r="N25"/>
      <c r="O25"/>
    </row>
    <row r="26" spans="1:15" s="3" customFormat="1" x14ac:dyDescent="0.25">
      <c r="A26" s="29"/>
      <c r="B26" s="29"/>
      <c r="C26" s="15"/>
      <c r="D26" s="29"/>
      <c r="E26"/>
      <c r="F26"/>
      <c r="G26" s="34"/>
      <c r="H26" s="116"/>
      <c r="I26" s="19"/>
      <c r="J26" s="19"/>
      <c r="K26" s="19"/>
      <c r="L26" s="19"/>
      <c r="M26" s="19"/>
      <c r="N26"/>
      <c r="O26"/>
    </row>
    <row r="27" spans="1:15" s="3" customFormat="1" x14ac:dyDescent="0.25">
      <c r="A27" s="29"/>
      <c r="B27" s="29"/>
      <c r="C27" s="15"/>
      <c r="D27" s="29"/>
      <c r="E27"/>
      <c r="F27"/>
      <c r="G27" s="34"/>
      <c r="H27" s="116"/>
      <c r="I27" s="19"/>
      <c r="J27" s="19"/>
      <c r="K27" s="19"/>
      <c r="L27" s="19"/>
      <c r="M27" s="19"/>
      <c r="N27"/>
      <c r="O27"/>
    </row>
    <row r="28" spans="1:15" s="3" customFormat="1" x14ac:dyDescent="0.25">
      <c r="A28" s="29"/>
      <c r="B28" s="29"/>
      <c r="C28" s="15"/>
      <c r="D28" s="29"/>
      <c r="E28"/>
      <c r="F28"/>
      <c r="G28" s="34"/>
      <c r="H28" s="116"/>
      <c r="I28" s="19"/>
      <c r="J28" s="19"/>
      <c r="K28" s="19"/>
      <c r="L28" s="19"/>
      <c r="M28" s="19"/>
      <c r="N28"/>
      <c r="O28"/>
    </row>
    <row r="29" spans="1:15" s="3" customFormat="1" x14ac:dyDescent="0.25">
      <c r="A29" s="29"/>
      <c r="B29" s="29"/>
      <c r="C29" s="15"/>
      <c r="D29" s="29"/>
      <c r="E29"/>
      <c r="F29"/>
      <c r="G29" s="34"/>
      <c r="H29" s="116"/>
      <c r="I29" s="19"/>
      <c r="J29" s="19"/>
      <c r="K29" s="19"/>
      <c r="L29" s="19"/>
      <c r="M29" s="19"/>
      <c r="N29"/>
      <c r="O29"/>
    </row>
    <row r="30" spans="1:15" s="4" customFormat="1" ht="20.25" x14ac:dyDescent="0.3">
      <c r="A30" s="29"/>
      <c r="B30" s="29"/>
      <c r="C30" s="15"/>
      <c r="D30" s="29"/>
      <c r="E30"/>
      <c r="F30"/>
      <c r="G30" s="34"/>
      <c r="H30" s="116"/>
      <c r="I30" s="19"/>
      <c r="J30" s="19"/>
      <c r="K30" s="19"/>
      <c r="L30" s="19"/>
      <c r="M30" s="19"/>
      <c r="N30"/>
      <c r="O30"/>
    </row>
  </sheetData>
  <mergeCells count="7">
    <mergeCell ref="A10:F10"/>
    <mergeCell ref="A1:O1"/>
    <mergeCell ref="A4:A5"/>
    <mergeCell ref="B4:B5"/>
    <mergeCell ref="C4:C5"/>
    <mergeCell ref="I4:J4"/>
    <mergeCell ref="K4:L4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4"/>
  <sheetViews>
    <sheetView topLeftCell="A2" workbookViewId="0">
      <selection activeCell="L14" sqref="L14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6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6" s="52" customFormat="1" ht="22.5" x14ac:dyDescent="0.3">
      <c r="A2" s="813" t="s">
        <v>1106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6" s="52" customFormat="1" ht="22.5" x14ac:dyDescent="0.3">
      <c r="A3" s="698"/>
      <c r="B3" s="698"/>
      <c r="C3" s="698"/>
      <c r="D3" s="698"/>
      <c r="E3" s="698"/>
      <c r="F3" s="698"/>
      <c r="G3" s="698" t="s">
        <v>48</v>
      </c>
      <c r="H3" s="640" t="s">
        <v>1105</v>
      </c>
      <c r="I3" s="698"/>
      <c r="J3" s="698"/>
      <c r="K3" s="698"/>
      <c r="L3" s="698"/>
      <c r="M3" s="698"/>
    </row>
    <row r="4" spans="1:16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697" t="s">
        <v>7</v>
      </c>
      <c r="H4" s="697" t="s">
        <v>8</v>
      </c>
      <c r="I4" s="697" t="s">
        <v>9</v>
      </c>
      <c r="J4" s="814" t="s">
        <v>47</v>
      </c>
      <c r="K4" s="752" t="s">
        <v>46</v>
      </c>
      <c r="L4" s="753"/>
      <c r="M4" s="7" t="s">
        <v>1</v>
      </c>
    </row>
    <row r="5" spans="1:16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6" s="59" customFormat="1" ht="19.5" x14ac:dyDescent="0.3">
      <c r="A6" s="54" t="s">
        <v>32</v>
      </c>
      <c r="B6" s="55" t="s">
        <v>1104</v>
      </c>
      <c r="C6" s="56"/>
      <c r="D6" s="57" t="s">
        <v>11</v>
      </c>
      <c r="E6" s="57" t="s">
        <v>10</v>
      </c>
      <c r="F6" s="33">
        <v>351590</v>
      </c>
      <c r="G6" s="33"/>
      <c r="H6" s="33">
        <v>15780</v>
      </c>
      <c r="I6" s="58">
        <f>F6-H6</f>
        <v>335810</v>
      </c>
      <c r="J6" s="60">
        <v>1</v>
      </c>
      <c r="K6" s="60">
        <v>200</v>
      </c>
      <c r="L6" s="60"/>
      <c r="M6" s="338" t="s">
        <v>1107</v>
      </c>
      <c r="N6" s="71"/>
    </row>
    <row r="7" spans="1:16" s="12" customFormat="1" ht="15.75" x14ac:dyDescent="0.25">
      <c r="A7" s="54" t="s">
        <v>33</v>
      </c>
      <c r="B7" s="55" t="s">
        <v>1104</v>
      </c>
      <c r="C7" s="56"/>
      <c r="D7" s="57" t="s">
        <v>11</v>
      </c>
      <c r="E7" s="57" t="s">
        <v>10</v>
      </c>
      <c r="F7" s="33">
        <f>F6-H6</f>
        <v>335810</v>
      </c>
      <c r="G7" s="33"/>
      <c r="H7" s="33">
        <v>66180</v>
      </c>
      <c r="I7" s="58">
        <f>F7-H7</f>
        <v>269630</v>
      </c>
      <c r="J7" s="60">
        <v>3</v>
      </c>
      <c r="K7" s="60">
        <f>231+175+430</f>
        <v>836</v>
      </c>
      <c r="L7" s="60"/>
      <c r="M7" s="69"/>
      <c r="N7" s="71"/>
    </row>
    <row r="8" spans="1:16" s="12" customFormat="1" ht="15.75" x14ac:dyDescent="0.25">
      <c r="A8" s="54" t="s">
        <v>34</v>
      </c>
      <c r="B8" s="55" t="s">
        <v>1114</v>
      </c>
      <c r="C8" s="56"/>
      <c r="D8" s="57" t="s">
        <v>11</v>
      </c>
      <c r="E8" s="57" t="s">
        <v>10</v>
      </c>
      <c r="F8" s="33">
        <f>F7-H7</f>
        <v>269630</v>
      </c>
      <c r="G8" s="33"/>
      <c r="H8" s="33">
        <v>50440</v>
      </c>
      <c r="I8" s="58">
        <f>F8-H8</f>
        <v>219190</v>
      </c>
      <c r="J8" s="60">
        <v>2</v>
      </c>
      <c r="K8" s="60">
        <f>206+432</f>
        <v>638</v>
      </c>
      <c r="L8" s="60"/>
      <c r="M8" s="69"/>
      <c r="N8" s="71"/>
    </row>
    <row r="9" spans="1:16" s="12" customFormat="1" ht="15.75" x14ac:dyDescent="0.25">
      <c r="A9" s="54" t="s">
        <v>35</v>
      </c>
      <c r="B9" s="55" t="s">
        <v>1116</v>
      </c>
      <c r="C9" s="56"/>
      <c r="D9" s="57" t="s">
        <v>11</v>
      </c>
      <c r="E9" s="57" t="s">
        <v>10</v>
      </c>
      <c r="F9" s="33">
        <f>F8-H8</f>
        <v>219190</v>
      </c>
      <c r="G9" s="33"/>
      <c r="H9" s="33">
        <v>31880</v>
      </c>
      <c r="I9" s="58">
        <f t="shared" ref="I9:I15" si="0">F9-H9</f>
        <v>187310</v>
      </c>
      <c r="J9" s="60">
        <v>2</v>
      </c>
      <c r="K9" s="60">
        <f>206+198</f>
        <v>404</v>
      </c>
      <c r="L9" s="60"/>
      <c r="M9" s="69"/>
      <c r="N9" s="71"/>
    </row>
    <row r="10" spans="1:16" s="12" customFormat="1" ht="15.75" x14ac:dyDescent="0.25">
      <c r="A10" s="54" t="s">
        <v>36</v>
      </c>
      <c r="B10" s="55" t="s">
        <v>1124</v>
      </c>
      <c r="C10" s="56"/>
      <c r="D10" s="57" t="s">
        <v>11</v>
      </c>
      <c r="E10" s="57" t="s">
        <v>10</v>
      </c>
      <c r="F10" s="33">
        <f>I9</f>
        <v>187310</v>
      </c>
      <c r="G10" s="33"/>
      <c r="H10" s="33">
        <v>33430</v>
      </c>
      <c r="I10" s="58">
        <f>F10-H10</f>
        <v>153880</v>
      </c>
      <c r="J10" s="60">
        <v>2</v>
      </c>
      <c r="K10" s="60">
        <f>202+220</f>
        <v>422</v>
      </c>
      <c r="L10" s="60"/>
      <c r="M10" s="69"/>
      <c r="N10" s="71"/>
    </row>
    <row r="11" spans="1:16" s="12" customFormat="1" ht="15.75" x14ac:dyDescent="0.25">
      <c r="A11" s="54" t="s">
        <v>17</v>
      </c>
      <c r="B11" s="55" t="s">
        <v>1125</v>
      </c>
      <c r="C11" s="56"/>
      <c r="D11" s="57" t="s">
        <v>11</v>
      </c>
      <c r="E11" s="57" t="s">
        <v>10</v>
      </c>
      <c r="F11" s="33">
        <f>I10</f>
        <v>153880</v>
      </c>
      <c r="G11" s="33"/>
      <c r="H11" s="33">
        <v>16250</v>
      </c>
      <c r="I11" s="58">
        <f t="shared" si="0"/>
        <v>137630</v>
      </c>
      <c r="J11" s="60">
        <v>1</v>
      </c>
      <c r="K11" s="60">
        <v>206</v>
      </c>
      <c r="L11" s="60"/>
      <c r="M11" s="69"/>
      <c r="N11" s="71"/>
    </row>
    <row r="12" spans="1:16" s="12" customFormat="1" ht="15.75" x14ac:dyDescent="0.25">
      <c r="A12" s="54" t="s">
        <v>18</v>
      </c>
      <c r="B12" s="55" t="s">
        <v>1126</v>
      </c>
      <c r="C12" s="56"/>
      <c r="D12" s="57" t="s">
        <v>11</v>
      </c>
      <c r="E12" s="57" t="s">
        <v>10</v>
      </c>
      <c r="F12" s="33">
        <f>I11</f>
        <v>137630</v>
      </c>
      <c r="G12" s="33"/>
      <c r="H12" s="33">
        <v>34070</v>
      </c>
      <c r="I12" s="58">
        <f t="shared" si="0"/>
        <v>103560</v>
      </c>
      <c r="J12" s="60">
        <v>1</v>
      </c>
      <c r="K12" s="60">
        <v>431</v>
      </c>
      <c r="L12" s="60"/>
      <c r="M12" s="69"/>
      <c r="N12" s="71"/>
    </row>
    <row r="13" spans="1:16" s="12" customFormat="1" ht="15.75" x14ac:dyDescent="0.25">
      <c r="A13" s="54" t="s">
        <v>19</v>
      </c>
      <c r="B13" s="55" t="s">
        <v>1132</v>
      </c>
      <c r="C13" s="56"/>
      <c r="D13" s="57" t="s">
        <v>11</v>
      </c>
      <c r="E13" s="57" t="s">
        <v>10</v>
      </c>
      <c r="F13" s="33">
        <f>I12</f>
        <v>103560</v>
      </c>
      <c r="G13" s="33"/>
      <c r="H13" s="33">
        <v>32060</v>
      </c>
      <c r="I13" s="58">
        <f t="shared" si="0"/>
        <v>71500</v>
      </c>
      <c r="J13" s="60">
        <v>2</v>
      </c>
      <c r="K13" s="60">
        <f>204+201</f>
        <v>405</v>
      </c>
      <c r="L13" s="60"/>
      <c r="M13" s="69"/>
      <c r="N13" s="71"/>
    </row>
    <row r="14" spans="1:16" s="12" customFormat="1" ht="15.75" x14ac:dyDescent="0.25">
      <c r="A14" s="54" t="s">
        <v>20</v>
      </c>
      <c r="B14" s="55" t="s">
        <v>1135</v>
      </c>
      <c r="C14" s="56"/>
      <c r="D14" s="57" t="s">
        <v>11</v>
      </c>
      <c r="E14" s="57" t="s">
        <v>10</v>
      </c>
      <c r="F14" s="33">
        <f>I13</f>
        <v>71500</v>
      </c>
      <c r="G14" s="33"/>
      <c r="H14" s="33">
        <v>33870</v>
      </c>
      <c r="I14" s="58">
        <f t="shared" si="0"/>
        <v>37630</v>
      </c>
      <c r="J14" s="60">
        <v>1</v>
      </c>
      <c r="K14" s="60">
        <v>429</v>
      </c>
      <c r="L14" s="60"/>
      <c r="M14" s="69"/>
      <c r="N14" s="71"/>
    </row>
    <row r="15" spans="1:16" s="12" customFormat="1" ht="15.75" x14ac:dyDescent="0.25">
      <c r="A15" s="54" t="s">
        <v>387</v>
      </c>
      <c r="B15" s="515"/>
      <c r="C15" s="56"/>
      <c r="D15" s="57" t="s">
        <v>11</v>
      </c>
      <c r="E15" s="57" t="s">
        <v>10</v>
      </c>
      <c r="F15" s="33"/>
      <c r="G15" s="33"/>
      <c r="H15" s="33"/>
      <c r="I15" s="58">
        <f t="shared" si="0"/>
        <v>0</v>
      </c>
      <c r="J15" s="60"/>
      <c r="K15" s="60"/>
      <c r="L15" s="60"/>
      <c r="M15" s="69"/>
      <c r="N15" s="71"/>
      <c r="P15" s="12" t="s">
        <v>1010</v>
      </c>
    </row>
    <row r="16" spans="1:16" s="4" customFormat="1" ht="20.25" x14ac:dyDescent="0.3">
      <c r="A16" s="816" t="s">
        <v>209</v>
      </c>
      <c r="B16" s="817"/>
      <c r="C16" s="817"/>
      <c r="D16" s="817"/>
      <c r="E16" s="818"/>
      <c r="F16" s="260"/>
      <c r="G16" s="260"/>
      <c r="H16" s="366">
        <f>SUM(H6:H15)</f>
        <v>313960</v>
      </c>
      <c r="I16" s="260">
        <f>F6-H16</f>
        <v>37630</v>
      </c>
      <c r="J16" s="260">
        <f>SUM(J6:J15)</f>
        <v>15</v>
      </c>
      <c r="K16" s="260">
        <f>SUM(K6:K15)</f>
        <v>3971</v>
      </c>
      <c r="L16" s="261"/>
      <c r="M16" s="262">
        <f>+H16-K16</f>
        <v>309989</v>
      </c>
    </row>
    <row r="17" spans="1:13" s="4" customFormat="1" ht="20.25" x14ac:dyDescent="0.3">
      <c r="A17" s="41"/>
      <c r="B17" s="41"/>
      <c r="C17" s="41"/>
      <c r="D17" s="41"/>
      <c r="E17" s="41"/>
      <c r="F17" s="42"/>
      <c r="G17" s="42"/>
      <c r="H17" s="42"/>
      <c r="I17" s="42"/>
      <c r="J17" s="42"/>
      <c r="K17" s="42"/>
      <c r="L17" s="42"/>
      <c r="M17" s="42"/>
    </row>
    <row r="18" spans="1:13" x14ac:dyDescent="0.25">
      <c r="F18" s="19"/>
    </row>
    <row r="19" spans="1:13" x14ac:dyDescent="0.25">
      <c r="F19" s="34"/>
      <c r="G19" s="19"/>
      <c r="H19" s="19"/>
      <c r="I19" s="19"/>
      <c r="J19" s="19"/>
      <c r="K19" s="19"/>
      <c r="L19" s="19"/>
    </row>
    <row r="20" spans="1:13" x14ac:dyDescent="0.25">
      <c r="F20" s="19"/>
      <c r="G20" s="19"/>
    </row>
    <row r="21" spans="1:13" s="19" customFormat="1" x14ac:dyDescent="0.25">
      <c r="A21" s="29"/>
      <c r="B21" s="29"/>
      <c r="C21" s="18"/>
      <c r="D21"/>
      <c r="E21"/>
      <c r="F21" s="34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F22" s="35"/>
      <c r="G22"/>
      <c r="H22"/>
      <c r="I22"/>
      <c r="J22"/>
      <c r="K22"/>
      <c r="L22"/>
      <c r="M22"/>
    </row>
    <row r="23" spans="1:13" s="19" customFormat="1" x14ac:dyDescent="0.25">
      <c r="A23" s="29"/>
      <c r="B23" s="29"/>
      <c r="C23" s="18"/>
      <c r="D23"/>
      <c r="E23"/>
      <c r="G23"/>
      <c r="I23"/>
      <c r="J23"/>
      <c r="K23"/>
      <c r="L23"/>
      <c r="M23"/>
    </row>
    <row r="24" spans="1:13" s="19" customFormat="1" x14ac:dyDescent="0.25">
      <c r="A24" s="29"/>
      <c r="B24" s="29"/>
      <c r="C24" s="18"/>
      <c r="D24"/>
      <c r="E24"/>
      <c r="G24"/>
      <c r="H24"/>
      <c r="I24"/>
      <c r="J24"/>
      <c r="K24"/>
      <c r="L24"/>
      <c r="M24"/>
    </row>
  </sheetData>
  <mergeCells count="5">
    <mergeCell ref="A1:M1"/>
    <mergeCell ref="A2:M2"/>
    <mergeCell ref="J4:J5"/>
    <mergeCell ref="K4:L4"/>
    <mergeCell ref="A16:E16"/>
  </mergeCells>
  <hyperlinks>
    <hyperlink ref="H3" location="'ĐIỀU KHO 3.1'!A23" display="BILL: GREENTEC A6"/>
  </hyperlinks>
  <pageMargins left="0.7" right="0.7" top="0.75" bottom="0.75" header="0.3" footer="0.3"/>
  <pageSetup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workbookViewId="0">
      <selection activeCell="K14" sqref="K14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6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6" s="52" customFormat="1" ht="22.5" x14ac:dyDescent="0.3">
      <c r="A2" s="813" t="s">
        <v>1112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6" s="52" customFormat="1" ht="22.5" x14ac:dyDescent="0.3">
      <c r="A3" s="701"/>
      <c r="B3" s="701"/>
      <c r="C3" s="701"/>
      <c r="D3" s="701"/>
      <c r="E3" s="701"/>
      <c r="F3" s="701"/>
      <c r="G3" s="701" t="s">
        <v>48</v>
      </c>
      <c r="H3" s="640" t="s">
        <v>1111</v>
      </c>
      <c r="I3" s="701"/>
      <c r="J3" s="701"/>
      <c r="K3" s="701"/>
      <c r="L3" s="701"/>
      <c r="M3" s="701"/>
    </row>
    <row r="4" spans="1:16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700" t="s">
        <v>7</v>
      </c>
      <c r="H4" s="700" t="s">
        <v>8</v>
      </c>
      <c r="I4" s="700" t="s">
        <v>9</v>
      </c>
      <c r="J4" s="814" t="s">
        <v>47</v>
      </c>
      <c r="K4" s="752" t="s">
        <v>46</v>
      </c>
      <c r="L4" s="753"/>
      <c r="M4" s="7" t="s">
        <v>1</v>
      </c>
    </row>
    <row r="5" spans="1:16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6" s="59" customFormat="1" ht="19.5" x14ac:dyDescent="0.3">
      <c r="A6" s="54" t="s">
        <v>32</v>
      </c>
      <c r="B6" s="55" t="s">
        <v>1108</v>
      </c>
      <c r="C6" s="56"/>
      <c r="D6" s="57" t="s">
        <v>11</v>
      </c>
      <c r="E6" s="57" t="s">
        <v>10</v>
      </c>
      <c r="F6" s="33">
        <v>218260</v>
      </c>
      <c r="G6" s="33"/>
      <c r="H6" s="33">
        <v>88940</v>
      </c>
      <c r="I6" s="58">
        <f>F6-H6</f>
        <v>129320</v>
      </c>
      <c r="J6" s="60">
        <v>3</v>
      </c>
      <c r="K6" s="60">
        <f>271+417+424</f>
        <v>1112</v>
      </c>
      <c r="L6" s="60"/>
      <c r="M6" s="338" t="s">
        <v>1113</v>
      </c>
      <c r="N6" s="71"/>
    </row>
    <row r="7" spans="1:16" s="12" customFormat="1" ht="15.75" x14ac:dyDescent="0.25">
      <c r="A7" s="54" t="s">
        <v>33</v>
      </c>
      <c r="B7" s="55" t="s">
        <v>1114</v>
      </c>
      <c r="C7" s="56"/>
      <c r="D7" s="57" t="s">
        <v>11</v>
      </c>
      <c r="E7" s="57" t="s">
        <v>10</v>
      </c>
      <c r="F7" s="33">
        <f>I6</f>
        <v>129320</v>
      </c>
      <c r="G7" s="33"/>
      <c r="H7" s="33">
        <v>91950</v>
      </c>
      <c r="I7" s="58">
        <f>F7-H7</f>
        <v>37370</v>
      </c>
      <c r="J7" s="60">
        <v>3</v>
      </c>
      <c r="K7" s="60">
        <f>422+349+378</f>
        <v>1149</v>
      </c>
      <c r="L7" s="60"/>
      <c r="M7" s="69"/>
      <c r="N7" s="71"/>
    </row>
    <row r="8" spans="1:16" s="12" customFormat="1" ht="15.75" x14ac:dyDescent="0.25">
      <c r="A8" s="54" t="s">
        <v>34</v>
      </c>
      <c r="B8" s="55" t="s">
        <v>1115</v>
      </c>
      <c r="C8" s="56"/>
      <c r="D8" s="57" t="s">
        <v>11</v>
      </c>
      <c r="E8" s="57" t="s">
        <v>10</v>
      </c>
      <c r="F8" s="33">
        <f>I7</f>
        <v>37370</v>
      </c>
      <c r="G8" s="33"/>
      <c r="H8" s="33">
        <v>32960</v>
      </c>
      <c r="I8" s="58">
        <f>F8-H8</f>
        <v>4410</v>
      </c>
      <c r="J8" s="60">
        <v>1</v>
      </c>
      <c r="K8" s="60">
        <v>412</v>
      </c>
      <c r="L8" s="60"/>
      <c r="M8" s="69"/>
      <c r="N8" s="71"/>
    </row>
    <row r="9" spans="1:16" s="12" customFormat="1" ht="15.75" x14ac:dyDescent="0.25">
      <c r="A9" s="54" t="s">
        <v>35</v>
      </c>
      <c r="B9" s="55"/>
      <c r="C9" s="56"/>
      <c r="D9" s="57" t="s">
        <v>11</v>
      </c>
      <c r="E9" s="57" t="s">
        <v>10</v>
      </c>
      <c r="F9" s="33"/>
      <c r="G9" s="33"/>
      <c r="H9" s="33"/>
      <c r="I9" s="58">
        <f t="shared" ref="I9:I12" si="0">F9-H9</f>
        <v>0</v>
      </c>
      <c r="J9" s="60"/>
      <c r="K9" s="60"/>
      <c r="L9" s="60"/>
      <c r="M9" s="69"/>
      <c r="N9" s="71"/>
    </row>
    <row r="10" spans="1:16" s="12" customFormat="1" ht="15.75" x14ac:dyDescent="0.25">
      <c r="A10" s="54" t="s">
        <v>36</v>
      </c>
      <c r="B10" s="55"/>
      <c r="C10" s="56"/>
      <c r="D10" s="57" t="s">
        <v>11</v>
      </c>
      <c r="E10" s="57" t="s">
        <v>10</v>
      </c>
      <c r="F10" s="33"/>
      <c r="G10" s="33"/>
      <c r="H10" s="33"/>
      <c r="I10" s="58">
        <f t="shared" si="0"/>
        <v>0</v>
      </c>
      <c r="J10" s="60"/>
      <c r="K10" s="60"/>
      <c r="L10" s="60"/>
      <c r="M10" s="69"/>
      <c r="N10" s="71"/>
    </row>
    <row r="11" spans="1:16" s="12" customFormat="1" ht="15.75" x14ac:dyDescent="0.25">
      <c r="A11" s="54" t="s">
        <v>17</v>
      </c>
      <c r="B11" s="55"/>
      <c r="C11" s="56"/>
      <c r="D11" s="57" t="s">
        <v>11</v>
      </c>
      <c r="E11" s="57" t="s">
        <v>10</v>
      </c>
      <c r="F11" s="33"/>
      <c r="G11" s="33"/>
      <c r="H11" s="33"/>
      <c r="I11" s="58">
        <f t="shared" si="0"/>
        <v>0</v>
      </c>
      <c r="J11" s="60"/>
      <c r="K11" s="60"/>
      <c r="L11" s="60"/>
      <c r="M11" s="69"/>
      <c r="N11" s="71"/>
    </row>
    <row r="12" spans="1:16" s="12" customFormat="1" ht="15.75" x14ac:dyDescent="0.25">
      <c r="A12" s="54" t="s">
        <v>18</v>
      </c>
      <c r="B12" s="55"/>
      <c r="C12" s="56"/>
      <c r="D12" s="57" t="s">
        <v>11</v>
      </c>
      <c r="E12" s="57" t="s">
        <v>10</v>
      </c>
      <c r="F12" s="33"/>
      <c r="G12" s="33"/>
      <c r="H12" s="33"/>
      <c r="I12" s="58">
        <f t="shared" si="0"/>
        <v>0</v>
      </c>
      <c r="J12" s="60"/>
      <c r="K12" s="60"/>
      <c r="L12" s="60"/>
      <c r="M12" s="69"/>
      <c r="N12" s="71"/>
    </row>
    <row r="13" spans="1:16" s="12" customFormat="1" ht="15.75" x14ac:dyDescent="0.25">
      <c r="A13" s="54" t="s">
        <v>19</v>
      </c>
      <c r="B13" s="515"/>
      <c r="C13" s="56"/>
      <c r="D13" s="57" t="s">
        <v>11</v>
      </c>
      <c r="E13" s="57" t="s">
        <v>10</v>
      </c>
      <c r="F13" s="33"/>
      <c r="G13" s="33"/>
      <c r="H13" s="33"/>
      <c r="I13" s="58">
        <f>F13-H13</f>
        <v>0</v>
      </c>
      <c r="J13" s="60"/>
      <c r="K13" s="60"/>
      <c r="L13" s="60"/>
      <c r="M13" s="69"/>
      <c r="N13" s="71"/>
      <c r="P13" s="12" t="s">
        <v>1010</v>
      </c>
    </row>
    <row r="14" spans="1:16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213850</v>
      </c>
      <c r="I14" s="260">
        <f>F6-H14</f>
        <v>4410</v>
      </c>
      <c r="J14" s="260">
        <f>SUM(J6:J13)</f>
        <v>7</v>
      </c>
      <c r="K14" s="260">
        <f>SUM(K6:K13)</f>
        <v>2673</v>
      </c>
      <c r="L14" s="261"/>
      <c r="M14" s="262">
        <f>+H14-K14</f>
        <v>211177</v>
      </c>
    </row>
    <row r="15" spans="1:16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2"/>
    </row>
    <row r="16" spans="1:16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3.1'!A38" display="BILL: 8301"/>
  </hyperlinks>
  <pageMargins left="0.7" right="0.7" top="0.75" bottom="0.75" header="0.3" footer="0.3"/>
  <pageSetup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3"/>
  <sheetViews>
    <sheetView topLeftCell="A4" workbookViewId="0">
      <selection activeCell="M8" sqref="M8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0.140625" bestFit="1" customWidth="1"/>
    <col min="14" max="14" width="11.5703125" bestFit="1" customWidth="1"/>
  </cols>
  <sheetData>
    <row r="1" spans="1:15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5" s="52" customFormat="1" ht="22.5" x14ac:dyDescent="0.3">
      <c r="A2" s="813" t="s">
        <v>1109</v>
      </c>
      <c r="B2" s="812"/>
      <c r="C2" s="812"/>
      <c r="D2" s="812"/>
      <c r="E2" s="812"/>
      <c r="F2" s="812"/>
      <c r="G2" s="812"/>
      <c r="H2" s="812"/>
      <c r="I2" s="812"/>
      <c r="J2" s="812"/>
      <c r="K2" s="812"/>
      <c r="L2" s="812"/>
      <c r="M2" s="812"/>
    </row>
    <row r="3" spans="1:15" s="52" customFormat="1" ht="22.5" x14ac:dyDescent="0.3">
      <c r="A3" s="265"/>
      <c r="B3" s="265"/>
      <c r="C3" s="265"/>
      <c r="D3" s="265"/>
      <c r="E3" s="265"/>
      <c r="F3" s="265"/>
      <c r="G3" s="265" t="s">
        <v>48</v>
      </c>
      <c r="H3" s="73" t="s">
        <v>674</v>
      </c>
      <c r="I3" s="265"/>
      <c r="J3" s="265"/>
      <c r="K3" s="265"/>
      <c r="L3" s="265"/>
      <c r="M3" s="265"/>
    </row>
    <row r="4" spans="1:15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264" t="s">
        <v>7</v>
      </c>
      <c r="H4" s="264" t="s">
        <v>8</v>
      </c>
      <c r="I4" s="264" t="s">
        <v>9</v>
      </c>
      <c r="J4" s="814" t="s">
        <v>47</v>
      </c>
      <c r="K4" s="752" t="s">
        <v>46</v>
      </c>
      <c r="L4" s="753"/>
      <c r="M4" s="7" t="s">
        <v>1</v>
      </c>
    </row>
    <row r="5" spans="1:15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5" s="59" customFormat="1" ht="15.75" x14ac:dyDescent="0.25">
      <c r="A6" s="256" t="s">
        <v>32</v>
      </c>
      <c r="B6" s="256" t="s">
        <v>678</v>
      </c>
      <c r="C6" s="257"/>
      <c r="D6" s="258" t="s">
        <v>11</v>
      </c>
      <c r="E6" s="258" t="s">
        <v>10</v>
      </c>
      <c r="F6" s="259">
        <v>49540</v>
      </c>
      <c r="G6" s="259"/>
      <c r="H6" s="259">
        <v>13450</v>
      </c>
      <c r="I6" s="259">
        <f>F6-H6</f>
        <v>36090</v>
      </c>
      <c r="J6" s="259">
        <v>1</v>
      </c>
      <c r="K6" s="259">
        <v>168</v>
      </c>
      <c r="L6" s="259"/>
      <c r="M6" s="263" t="s">
        <v>675</v>
      </c>
      <c r="N6" s="71"/>
    </row>
    <row r="7" spans="1:15" s="59" customFormat="1" ht="15.75" x14ac:dyDescent="0.25">
      <c r="A7" s="256" t="s">
        <v>33</v>
      </c>
      <c r="B7" s="256" t="s">
        <v>678</v>
      </c>
      <c r="C7" s="257"/>
      <c r="D7" s="258" t="s">
        <v>11</v>
      </c>
      <c r="E7" s="258" t="s">
        <v>10</v>
      </c>
      <c r="F7" s="259">
        <f>I6</f>
        <v>36090</v>
      </c>
      <c r="G7" s="259"/>
      <c r="H7" s="259">
        <v>34120</v>
      </c>
      <c r="I7" s="259">
        <f>F7-H7</f>
        <v>1970</v>
      </c>
      <c r="J7" s="259">
        <v>1</v>
      </c>
      <c r="K7" s="259">
        <v>462</v>
      </c>
      <c r="L7" s="259"/>
      <c r="M7" s="259"/>
      <c r="N7" s="71"/>
    </row>
    <row r="8" spans="1:15" s="59" customFormat="1" ht="15.75" x14ac:dyDescent="0.25">
      <c r="A8" s="256"/>
      <c r="B8" s="256"/>
      <c r="C8" s="257"/>
      <c r="D8" s="258"/>
      <c r="E8" s="258"/>
      <c r="F8" s="259"/>
      <c r="G8" s="259"/>
      <c r="H8" s="259"/>
      <c r="I8" s="259">
        <f>F8</f>
        <v>0</v>
      </c>
      <c r="J8" s="259"/>
      <c r="K8" s="259"/>
      <c r="L8" s="259"/>
      <c r="M8" s="259"/>
      <c r="N8" s="71"/>
    </row>
    <row r="9" spans="1:15" s="12" customFormat="1" ht="20.25" x14ac:dyDescent="0.3">
      <c r="A9" s="819" t="s">
        <v>209</v>
      </c>
      <c r="B9" s="819"/>
      <c r="C9" s="819"/>
      <c r="D9" s="819"/>
      <c r="E9" s="819"/>
      <c r="F9" s="266"/>
      <c r="G9" s="266"/>
      <c r="H9" s="699">
        <f>SUM(H6:H8)</f>
        <v>47570</v>
      </c>
      <c r="I9" s="266">
        <f>F6-H9</f>
        <v>1970</v>
      </c>
      <c r="J9" s="266">
        <f>SUM(J6:J8)</f>
        <v>2</v>
      </c>
      <c r="K9" s="266">
        <f>SUM(K6:K8)</f>
        <v>630</v>
      </c>
      <c r="L9" s="266"/>
      <c r="M9" s="266">
        <f>+H9-K9</f>
        <v>46940</v>
      </c>
      <c r="N9" s="71"/>
    </row>
    <row r="10" spans="1:15" s="12" customFormat="1" ht="15.75" x14ac:dyDescent="0.25">
      <c r="A10" s="417" t="s">
        <v>33</v>
      </c>
      <c r="B10" s="416" t="s">
        <v>1108</v>
      </c>
      <c r="C10" s="415"/>
      <c r="D10" s="140" t="s">
        <v>11</v>
      </c>
      <c r="E10" s="140" t="s">
        <v>10</v>
      </c>
      <c r="F10" s="32">
        <v>127640</v>
      </c>
      <c r="G10" s="32"/>
      <c r="H10" s="32">
        <v>126290</v>
      </c>
      <c r="I10" s="414">
        <f>F10-H10</f>
        <v>1350</v>
      </c>
      <c r="J10" s="413">
        <v>4</v>
      </c>
      <c r="K10" s="413">
        <f>231+425+410+493</f>
        <v>1559</v>
      </c>
      <c r="L10" s="413"/>
      <c r="M10" s="555" t="s">
        <v>1110</v>
      </c>
      <c r="N10" s="71"/>
    </row>
    <row r="11" spans="1:15" s="12" customFormat="1" ht="15.75" x14ac:dyDescent="0.25">
      <c r="A11" s="417" t="s">
        <v>34</v>
      </c>
      <c r="B11" s="543"/>
      <c r="C11" s="415"/>
      <c r="D11" s="140" t="s">
        <v>11</v>
      </c>
      <c r="E11" s="140" t="s">
        <v>10</v>
      </c>
      <c r="F11" s="32"/>
      <c r="G11" s="32"/>
      <c r="H11" s="32"/>
      <c r="I11" s="414">
        <f>F11-H11</f>
        <v>0</v>
      </c>
      <c r="J11" s="413"/>
      <c r="K11" s="413"/>
      <c r="L11" s="413"/>
      <c r="M11" s="412"/>
      <c r="N11" s="71"/>
      <c r="O11" s="22"/>
    </row>
    <row r="12" spans="1:15" s="12" customFormat="1" ht="15.75" x14ac:dyDescent="0.25">
      <c r="A12" s="417" t="s">
        <v>35</v>
      </c>
      <c r="B12" s="416"/>
      <c r="C12" s="415"/>
      <c r="D12" s="140" t="s">
        <v>11</v>
      </c>
      <c r="E12" s="140" t="s">
        <v>10</v>
      </c>
      <c r="F12" s="32"/>
      <c r="G12" s="32"/>
      <c r="H12" s="32"/>
      <c r="I12" s="414">
        <f>F12-H12</f>
        <v>0</v>
      </c>
      <c r="J12" s="413"/>
      <c r="K12" s="413"/>
      <c r="L12" s="413"/>
      <c r="M12" s="412"/>
      <c r="N12" s="71"/>
    </row>
    <row r="13" spans="1:15" s="12" customFormat="1" ht="15.75" x14ac:dyDescent="0.25">
      <c r="A13" s="417" t="s">
        <v>36</v>
      </c>
      <c r="B13" s="416"/>
      <c r="C13" s="415"/>
      <c r="D13" s="140" t="s">
        <v>11</v>
      </c>
      <c r="E13" s="140" t="s">
        <v>10</v>
      </c>
      <c r="F13" s="32"/>
      <c r="G13" s="32"/>
      <c r="H13" s="32"/>
      <c r="I13" s="414">
        <f>F13-H13</f>
        <v>0</v>
      </c>
      <c r="J13" s="413"/>
      <c r="K13" s="413"/>
      <c r="L13" s="413"/>
      <c r="M13" s="412"/>
      <c r="N13" s="71"/>
    </row>
    <row r="14" spans="1:15" s="12" customFormat="1" ht="15.75" x14ac:dyDescent="0.25">
      <c r="A14" s="417" t="s">
        <v>17</v>
      </c>
      <c r="B14" s="416"/>
      <c r="C14" s="415"/>
      <c r="D14" s="140" t="s">
        <v>11</v>
      </c>
      <c r="E14" s="140" t="s">
        <v>10</v>
      </c>
      <c r="F14" s="32"/>
      <c r="G14" s="32"/>
      <c r="H14" s="32"/>
      <c r="I14" s="414">
        <f>F14-H14</f>
        <v>0</v>
      </c>
      <c r="J14" s="413"/>
      <c r="K14" s="413"/>
      <c r="L14" s="413"/>
      <c r="M14" s="412"/>
      <c r="N14" s="71"/>
    </row>
    <row r="15" spans="1:15" s="4" customFormat="1" ht="20.25" x14ac:dyDescent="0.3">
      <c r="A15" s="820" t="s">
        <v>209</v>
      </c>
      <c r="B15" s="821"/>
      <c r="C15" s="821"/>
      <c r="D15" s="821"/>
      <c r="E15" s="822"/>
      <c r="F15" s="66"/>
      <c r="G15" s="66"/>
      <c r="H15" s="66">
        <f>SUM(H10:H14)</f>
        <v>126290</v>
      </c>
      <c r="I15" s="66">
        <f>F10-H15</f>
        <v>1350</v>
      </c>
      <c r="J15" s="66">
        <f>SUM(J10:J14)</f>
        <v>4</v>
      </c>
      <c r="K15" s="66">
        <f>SUM(K10:K14)</f>
        <v>1559</v>
      </c>
      <c r="L15" s="267"/>
      <c r="M15" s="268">
        <f>+H15-K15</f>
        <v>124731</v>
      </c>
    </row>
    <row r="16" spans="1:15" s="4" customFormat="1" ht="20.25" x14ac:dyDescent="0.3">
      <c r="A16" s="816" t="s">
        <v>209</v>
      </c>
      <c r="B16" s="817"/>
      <c r="C16" s="817"/>
      <c r="D16" s="817"/>
      <c r="E16" s="818"/>
      <c r="F16" s="260"/>
      <c r="G16" s="260"/>
      <c r="H16" s="366">
        <f>SUM(H9+H15)</f>
        <v>173860</v>
      </c>
      <c r="I16" s="260">
        <f>I9+I15</f>
        <v>3320</v>
      </c>
      <c r="J16" s="260">
        <f>SUM(J9+J15)</f>
        <v>6</v>
      </c>
      <c r="K16" s="260">
        <f>SUM(K9+K15)</f>
        <v>2189</v>
      </c>
      <c r="L16" s="261"/>
      <c r="M16" s="262">
        <f>+H16-K16</f>
        <v>171671</v>
      </c>
    </row>
    <row r="17" spans="1:13" x14ac:dyDescent="0.25">
      <c r="F17" s="19"/>
    </row>
    <row r="18" spans="1:13" x14ac:dyDescent="0.25">
      <c r="F18" s="34"/>
      <c r="G18" s="19"/>
      <c r="H18" s="19"/>
      <c r="I18" s="19"/>
      <c r="J18" s="19"/>
      <c r="K18" s="19"/>
      <c r="L18" s="19"/>
    </row>
    <row r="19" spans="1:13" x14ac:dyDescent="0.25">
      <c r="F19" s="19"/>
      <c r="G19" s="19"/>
    </row>
    <row r="20" spans="1:13" s="19" customFormat="1" x14ac:dyDescent="0.25">
      <c r="A20" s="29"/>
      <c r="B20" s="29"/>
      <c r="C20" s="18"/>
      <c r="D20"/>
      <c r="E20"/>
      <c r="F20" s="34"/>
      <c r="G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F21" s="35"/>
      <c r="G21"/>
      <c r="H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I22"/>
      <c r="J22"/>
      <c r="K22"/>
      <c r="L22"/>
      <c r="M22"/>
    </row>
    <row r="23" spans="1:13" s="19" customFormat="1" x14ac:dyDescent="0.25">
      <c r="A23" s="29"/>
      <c r="B23" s="29"/>
      <c r="C23" s="18"/>
      <c r="D23"/>
      <c r="E23"/>
      <c r="G23"/>
      <c r="H23"/>
      <c r="I23"/>
      <c r="J23"/>
      <c r="K23"/>
      <c r="L23"/>
      <c r="M23"/>
    </row>
  </sheetData>
  <mergeCells count="7">
    <mergeCell ref="A16:E16"/>
    <mergeCell ref="A1:M1"/>
    <mergeCell ref="J4:J5"/>
    <mergeCell ref="K4:L4"/>
    <mergeCell ref="A9:E9"/>
    <mergeCell ref="A15:E15"/>
    <mergeCell ref="A2:M2"/>
  </mergeCells>
  <hyperlinks>
    <hyperlink ref="H3" location="'ĐIỀU KHO 2.3'!K16" display="BILL 035G"/>
  </hyperlinks>
  <pageMargins left="0.7" right="0.7" top="0.75" bottom="0.75" header="0.3" footer="0.3"/>
  <pageSetup orientation="portrait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workbookViewId="0">
      <selection activeCell="K14" sqref="K14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6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6" s="52" customFormat="1" ht="22.5" x14ac:dyDescent="0.3">
      <c r="A2" s="813" t="s">
        <v>1069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6" s="52" customFormat="1" ht="22.5" x14ac:dyDescent="0.3">
      <c r="A3" s="685"/>
      <c r="B3" s="685"/>
      <c r="C3" s="685"/>
      <c r="D3" s="685"/>
      <c r="E3" s="685"/>
      <c r="F3" s="685"/>
      <c r="G3" s="685" t="s">
        <v>48</v>
      </c>
      <c r="H3" s="640" t="s">
        <v>1068</v>
      </c>
      <c r="I3" s="685"/>
      <c r="J3" s="685"/>
      <c r="K3" s="685"/>
      <c r="L3" s="685"/>
      <c r="M3" s="685"/>
    </row>
    <row r="4" spans="1:16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684" t="s">
        <v>7</v>
      </c>
      <c r="H4" s="684" t="s">
        <v>8</v>
      </c>
      <c r="I4" s="684" t="s">
        <v>9</v>
      </c>
      <c r="J4" s="814" t="s">
        <v>47</v>
      </c>
      <c r="K4" s="752" t="s">
        <v>46</v>
      </c>
      <c r="L4" s="753"/>
      <c r="M4" s="7" t="s">
        <v>1</v>
      </c>
    </row>
    <row r="5" spans="1:16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6" s="59" customFormat="1" ht="19.5" x14ac:dyDescent="0.3">
      <c r="A6" s="54" t="s">
        <v>32</v>
      </c>
      <c r="B6" s="55" t="s">
        <v>1073</v>
      </c>
      <c r="C6" s="56"/>
      <c r="D6" s="57" t="s">
        <v>11</v>
      </c>
      <c r="E6" s="57" t="s">
        <v>10</v>
      </c>
      <c r="F6" s="33">
        <v>422820</v>
      </c>
      <c r="G6" s="33"/>
      <c r="H6" s="33">
        <v>99090</v>
      </c>
      <c r="I6" s="58">
        <f>F6-H6</f>
        <v>323730</v>
      </c>
      <c r="J6" s="60">
        <v>4</v>
      </c>
      <c r="K6" s="60">
        <f>404+405+205+194</f>
        <v>1208</v>
      </c>
      <c r="L6" s="60"/>
      <c r="M6" s="338" t="s">
        <v>1070</v>
      </c>
      <c r="N6" s="71"/>
    </row>
    <row r="7" spans="1:16" s="12" customFormat="1" ht="15.75" x14ac:dyDescent="0.25">
      <c r="A7" s="54" t="s">
        <v>33</v>
      </c>
      <c r="B7" s="55" t="s">
        <v>1091</v>
      </c>
      <c r="C7" s="56"/>
      <c r="D7" s="57" t="s">
        <v>11</v>
      </c>
      <c r="E7" s="57" t="s">
        <v>10</v>
      </c>
      <c r="F7" s="33">
        <f>I6</f>
        <v>323730</v>
      </c>
      <c r="G7" s="33"/>
      <c r="H7" s="33">
        <v>67400</v>
      </c>
      <c r="I7" s="58">
        <f>F7-H7</f>
        <v>256330</v>
      </c>
      <c r="J7" s="60">
        <v>2</v>
      </c>
      <c r="K7" s="60">
        <f>406+416</f>
        <v>822</v>
      </c>
      <c r="L7" s="60"/>
      <c r="M7" s="69"/>
      <c r="N7" s="71"/>
    </row>
    <row r="8" spans="1:16" s="12" customFormat="1" ht="15.75" x14ac:dyDescent="0.25">
      <c r="A8" s="54" t="s">
        <v>34</v>
      </c>
      <c r="B8" s="55" t="s">
        <v>1093</v>
      </c>
      <c r="C8" s="56"/>
      <c r="D8" s="57" t="s">
        <v>11</v>
      </c>
      <c r="E8" s="57" t="s">
        <v>10</v>
      </c>
      <c r="F8" s="33">
        <f>I7</f>
        <v>256330</v>
      </c>
      <c r="G8" s="33"/>
      <c r="H8" s="33">
        <v>102020</v>
      </c>
      <c r="I8" s="58">
        <f>F8-H8</f>
        <v>154310</v>
      </c>
      <c r="J8" s="60">
        <v>3</v>
      </c>
      <c r="K8" s="60">
        <f>424+405+415</f>
        <v>1244</v>
      </c>
      <c r="L8" s="60"/>
      <c r="M8" s="69"/>
      <c r="N8" s="71"/>
    </row>
    <row r="9" spans="1:16" s="12" customFormat="1" ht="15.75" x14ac:dyDescent="0.25">
      <c r="A9" s="54" t="s">
        <v>35</v>
      </c>
      <c r="B9" s="55"/>
      <c r="C9" s="56"/>
      <c r="D9" s="57" t="s">
        <v>11</v>
      </c>
      <c r="E9" s="57" t="s">
        <v>10</v>
      </c>
      <c r="F9" s="33"/>
      <c r="G9" s="33"/>
      <c r="H9" s="33"/>
      <c r="I9" s="58">
        <f t="shared" ref="I9:I12" si="0">F9-H9</f>
        <v>0</v>
      </c>
      <c r="J9" s="60"/>
      <c r="K9" s="60"/>
      <c r="L9" s="60"/>
      <c r="M9" s="69"/>
      <c r="N9" s="71"/>
    </row>
    <row r="10" spans="1:16" s="12" customFormat="1" ht="15.75" x14ac:dyDescent="0.25">
      <c r="A10" s="54" t="s">
        <v>36</v>
      </c>
      <c r="B10" s="55"/>
      <c r="C10" s="56"/>
      <c r="D10" s="57" t="s">
        <v>11</v>
      </c>
      <c r="E10" s="57" t="s">
        <v>10</v>
      </c>
      <c r="F10" s="33"/>
      <c r="G10" s="33"/>
      <c r="H10" s="33"/>
      <c r="I10" s="58">
        <f t="shared" si="0"/>
        <v>0</v>
      </c>
      <c r="J10" s="60"/>
      <c r="K10" s="60"/>
      <c r="L10" s="60"/>
      <c r="M10" s="69"/>
      <c r="N10" s="71"/>
    </row>
    <row r="11" spans="1:16" s="12" customFormat="1" ht="15.75" x14ac:dyDescent="0.25">
      <c r="A11" s="54" t="s">
        <v>17</v>
      </c>
      <c r="B11" s="55"/>
      <c r="C11" s="56"/>
      <c r="D11" s="57" t="s">
        <v>11</v>
      </c>
      <c r="E11" s="57" t="s">
        <v>10</v>
      </c>
      <c r="F11" s="33"/>
      <c r="G11" s="33"/>
      <c r="H11" s="33"/>
      <c r="I11" s="58">
        <f t="shared" si="0"/>
        <v>0</v>
      </c>
      <c r="J11" s="60"/>
      <c r="K11" s="60"/>
      <c r="L11" s="60"/>
      <c r="M11" s="69"/>
      <c r="N11" s="71"/>
    </row>
    <row r="12" spans="1:16" s="12" customFormat="1" ht="15.75" x14ac:dyDescent="0.25">
      <c r="A12" s="54" t="s">
        <v>18</v>
      </c>
      <c r="B12" s="55"/>
      <c r="C12" s="56"/>
      <c r="D12" s="57" t="s">
        <v>11</v>
      </c>
      <c r="E12" s="57" t="s">
        <v>10</v>
      </c>
      <c r="F12" s="33"/>
      <c r="G12" s="33"/>
      <c r="H12" s="33"/>
      <c r="I12" s="58">
        <f t="shared" si="0"/>
        <v>0</v>
      </c>
      <c r="J12" s="60"/>
      <c r="K12" s="60"/>
      <c r="L12" s="60"/>
      <c r="M12" s="69"/>
      <c r="N12" s="71"/>
    </row>
    <row r="13" spans="1:16" s="12" customFormat="1" ht="15.75" x14ac:dyDescent="0.25">
      <c r="A13" s="54" t="s">
        <v>19</v>
      </c>
      <c r="B13" s="515"/>
      <c r="C13" s="56"/>
      <c r="D13" s="57" t="s">
        <v>11</v>
      </c>
      <c r="E13" s="57" t="s">
        <v>10</v>
      </c>
      <c r="F13" s="33"/>
      <c r="G13" s="33"/>
      <c r="H13" s="33"/>
      <c r="I13" s="58">
        <f>F13-H13</f>
        <v>0</v>
      </c>
      <c r="J13" s="60"/>
      <c r="K13" s="60"/>
      <c r="L13" s="60"/>
      <c r="M13" s="69"/>
      <c r="N13" s="71"/>
      <c r="P13" s="12" t="s">
        <v>1010</v>
      </c>
    </row>
    <row r="14" spans="1:16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268510</v>
      </c>
      <c r="I14" s="260">
        <f>F6-H14</f>
        <v>154310</v>
      </c>
      <c r="J14" s="260">
        <f>SUM(J6:J13)</f>
        <v>9</v>
      </c>
      <c r="K14" s="260">
        <f>SUM(K6:K13)</f>
        <v>3274</v>
      </c>
      <c r="L14" s="261"/>
      <c r="M14" s="262">
        <f>+H14-K14</f>
        <v>265236</v>
      </c>
    </row>
    <row r="15" spans="1:16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2"/>
    </row>
    <row r="16" spans="1:16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1.3'!A8" display="BILL: 8903"/>
  </hyperlinks>
  <pageMargins left="0.7" right="0.7" top="0.75" bottom="0.75" header="0.3" footer="0.3"/>
  <pageSetup orientation="portrait" horizontalDpi="180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workbookViewId="0">
      <selection activeCell="K14" sqref="K14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6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6" s="52" customFormat="1" ht="22.5" x14ac:dyDescent="0.3">
      <c r="A2" s="813" t="s">
        <v>1048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6" s="52" customFormat="1" ht="22.5" x14ac:dyDescent="0.3">
      <c r="A3" s="670"/>
      <c r="B3" s="670"/>
      <c r="C3" s="670"/>
      <c r="D3" s="670"/>
      <c r="E3" s="670"/>
      <c r="F3" s="670"/>
      <c r="G3" s="670" t="s">
        <v>48</v>
      </c>
      <c r="H3" s="640" t="s">
        <v>1047</v>
      </c>
      <c r="I3" s="670"/>
      <c r="J3" s="670"/>
      <c r="K3" s="670"/>
      <c r="L3" s="670"/>
      <c r="M3" s="670"/>
    </row>
    <row r="4" spans="1:16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669" t="s">
        <v>7</v>
      </c>
      <c r="H4" s="669" t="s">
        <v>8</v>
      </c>
      <c r="I4" s="669" t="s">
        <v>9</v>
      </c>
      <c r="J4" s="814" t="s">
        <v>47</v>
      </c>
      <c r="K4" s="752" t="s">
        <v>46</v>
      </c>
      <c r="L4" s="753"/>
      <c r="M4" s="7" t="s">
        <v>1</v>
      </c>
    </row>
    <row r="5" spans="1:16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6" s="59" customFormat="1" ht="19.5" x14ac:dyDescent="0.3">
      <c r="A6" s="54" t="s">
        <v>32</v>
      </c>
      <c r="B6" s="55" t="s">
        <v>1050</v>
      </c>
      <c r="C6" s="56"/>
      <c r="D6" s="57" t="s">
        <v>11</v>
      </c>
      <c r="E6" s="57" t="s">
        <v>10</v>
      </c>
      <c r="F6" s="33">
        <v>519320</v>
      </c>
      <c r="G6" s="33"/>
      <c r="H6" s="33">
        <v>151610</v>
      </c>
      <c r="I6" s="58">
        <f>F6-H6</f>
        <v>367710</v>
      </c>
      <c r="J6" s="60">
        <v>5</v>
      </c>
      <c r="K6" s="60">
        <f>202+436+413+429+437</f>
        <v>1917</v>
      </c>
      <c r="L6" s="60"/>
      <c r="M6" s="338" t="s">
        <v>1049</v>
      </c>
      <c r="N6" s="71"/>
    </row>
    <row r="7" spans="1:16" s="12" customFormat="1" ht="15.75" x14ac:dyDescent="0.25">
      <c r="A7" s="54" t="s">
        <v>33</v>
      </c>
      <c r="B7" s="55" t="s">
        <v>1050</v>
      </c>
      <c r="C7" s="56"/>
      <c r="D7" s="57" t="s">
        <v>11</v>
      </c>
      <c r="E7" s="57" t="s">
        <v>10</v>
      </c>
      <c r="F7" s="33">
        <f>I6</f>
        <v>367710</v>
      </c>
      <c r="G7" s="33"/>
      <c r="H7" s="33">
        <v>116990</v>
      </c>
      <c r="I7" s="58">
        <f>F7-H7</f>
        <v>250720</v>
      </c>
      <c r="J7" s="60">
        <v>5</v>
      </c>
      <c r="K7" s="60">
        <f>423+430+177+233+217</f>
        <v>1480</v>
      </c>
      <c r="L7" s="60"/>
      <c r="M7" s="69"/>
      <c r="N7" s="71"/>
    </row>
    <row r="8" spans="1:16" s="12" customFormat="1" ht="15.75" x14ac:dyDescent="0.25">
      <c r="A8" s="54" t="s">
        <v>34</v>
      </c>
      <c r="B8" s="55" t="s">
        <v>1075</v>
      </c>
      <c r="C8" s="56"/>
      <c r="D8" s="57" t="s">
        <v>11</v>
      </c>
      <c r="E8" s="57" t="s">
        <v>10</v>
      </c>
      <c r="F8" s="33">
        <f>I7</f>
        <v>250720</v>
      </c>
      <c r="G8" s="33"/>
      <c r="H8" s="33">
        <v>132270</v>
      </c>
      <c r="I8" s="58">
        <f>F8-H8</f>
        <v>118450</v>
      </c>
      <c r="J8" s="60">
        <v>4</v>
      </c>
      <c r="K8" s="60">
        <f>428+398+423+425</f>
        <v>1674</v>
      </c>
      <c r="L8" s="60"/>
      <c r="M8" s="69"/>
      <c r="N8" s="71"/>
    </row>
    <row r="9" spans="1:16" s="12" customFormat="1" ht="15.75" x14ac:dyDescent="0.25">
      <c r="A9" s="54" t="s">
        <v>35</v>
      </c>
      <c r="B9" s="55" t="s">
        <v>1075</v>
      </c>
      <c r="C9" s="56"/>
      <c r="D9" s="57" t="s">
        <v>11</v>
      </c>
      <c r="E9" s="57" t="s">
        <v>10</v>
      </c>
      <c r="F9" s="33">
        <f>I8</f>
        <v>118450</v>
      </c>
      <c r="G9" s="33"/>
      <c r="H9" s="33">
        <v>110850</v>
      </c>
      <c r="I9" s="58">
        <f t="shared" ref="I9:I12" si="0">F9-H9</f>
        <v>7600</v>
      </c>
      <c r="J9" s="60">
        <v>4</v>
      </c>
      <c r="K9" s="60">
        <f>437+394+407+148</f>
        <v>1386</v>
      </c>
      <c r="L9" s="60"/>
      <c r="M9" s="69"/>
      <c r="N9" s="71"/>
    </row>
    <row r="10" spans="1:16" s="12" customFormat="1" ht="15.75" x14ac:dyDescent="0.25">
      <c r="A10" s="54" t="s">
        <v>36</v>
      </c>
      <c r="B10" s="55"/>
      <c r="C10" s="56"/>
      <c r="D10" s="57" t="s">
        <v>11</v>
      </c>
      <c r="E10" s="57" t="s">
        <v>10</v>
      </c>
      <c r="F10" s="33"/>
      <c r="G10" s="33"/>
      <c r="H10" s="33"/>
      <c r="I10" s="58">
        <f t="shared" si="0"/>
        <v>0</v>
      </c>
      <c r="J10" s="60"/>
      <c r="K10" s="60"/>
      <c r="L10" s="60"/>
      <c r="M10" s="69"/>
      <c r="N10" s="71"/>
    </row>
    <row r="11" spans="1:16" s="12" customFormat="1" ht="15.75" x14ac:dyDescent="0.25">
      <c r="A11" s="54" t="s">
        <v>17</v>
      </c>
      <c r="B11" s="55"/>
      <c r="C11" s="56"/>
      <c r="D11" s="57" t="s">
        <v>11</v>
      </c>
      <c r="E11" s="57" t="s">
        <v>10</v>
      </c>
      <c r="F11" s="33"/>
      <c r="G11" s="33"/>
      <c r="H11" s="33"/>
      <c r="I11" s="58">
        <f t="shared" si="0"/>
        <v>0</v>
      </c>
      <c r="J11" s="60"/>
      <c r="K11" s="60"/>
      <c r="L11" s="60"/>
      <c r="M11" s="69"/>
      <c r="N11" s="71"/>
    </row>
    <row r="12" spans="1:16" s="12" customFormat="1" ht="15.75" x14ac:dyDescent="0.25">
      <c r="A12" s="54" t="s">
        <v>18</v>
      </c>
      <c r="B12" s="55"/>
      <c r="C12" s="56"/>
      <c r="D12" s="57" t="s">
        <v>11</v>
      </c>
      <c r="E12" s="57" t="s">
        <v>10</v>
      </c>
      <c r="F12" s="33"/>
      <c r="G12" s="33"/>
      <c r="H12" s="33"/>
      <c r="I12" s="58">
        <f t="shared" si="0"/>
        <v>0</v>
      </c>
      <c r="J12" s="60"/>
      <c r="K12" s="60"/>
      <c r="L12" s="60"/>
      <c r="M12" s="69"/>
      <c r="N12" s="71"/>
    </row>
    <row r="13" spans="1:16" s="12" customFormat="1" ht="15.75" x14ac:dyDescent="0.25">
      <c r="A13" s="54" t="s">
        <v>19</v>
      </c>
      <c r="B13" s="515"/>
      <c r="C13" s="56"/>
      <c r="D13" s="57" t="s">
        <v>11</v>
      </c>
      <c r="E13" s="57" t="s">
        <v>10</v>
      </c>
      <c r="F13" s="33"/>
      <c r="G13" s="33"/>
      <c r="H13" s="33"/>
      <c r="I13" s="58">
        <f>F13-H13</f>
        <v>0</v>
      </c>
      <c r="J13" s="60"/>
      <c r="K13" s="60"/>
      <c r="L13" s="60"/>
      <c r="M13" s="69"/>
      <c r="N13" s="71"/>
      <c r="P13" s="12" t="s">
        <v>1010</v>
      </c>
    </row>
    <row r="14" spans="1:16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511720</v>
      </c>
      <c r="I14" s="260">
        <f>F6-H14</f>
        <v>7600</v>
      </c>
      <c r="J14" s="260">
        <f>SUM(J6:J13)</f>
        <v>18</v>
      </c>
      <c r="K14" s="260">
        <f>SUM(K6:K13)</f>
        <v>6457</v>
      </c>
      <c r="L14" s="261"/>
      <c r="M14" s="262">
        <f>+H14-K14</f>
        <v>505263</v>
      </c>
    </row>
    <row r="15" spans="1:16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2"/>
    </row>
    <row r="16" spans="1:16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1.3'!A33" display="BILL: GREENTECB4"/>
  </hyperlinks>
  <pageMargins left="0.7" right="0.7" top="0.75" bottom="0.75" header="0.3" footer="0.3"/>
  <pageSetup orientation="portrait" horizontalDpi="180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9"/>
  <sheetViews>
    <sheetView topLeftCell="A4" zoomScaleNormal="100" workbookViewId="0">
      <selection activeCell="K17" sqref="K17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1043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668"/>
      <c r="B3" s="668"/>
      <c r="C3" s="668"/>
      <c r="D3" s="668"/>
      <c r="E3" s="668"/>
      <c r="F3" s="668"/>
      <c r="G3" s="668" t="s">
        <v>48</v>
      </c>
      <c r="H3" s="640" t="s">
        <v>1042</v>
      </c>
      <c r="I3" s="668"/>
      <c r="J3" s="668"/>
      <c r="K3" s="668"/>
      <c r="L3" s="668"/>
      <c r="M3" s="668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667" t="s">
        <v>7</v>
      </c>
      <c r="H4" s="667" t="s">
        <v>8</v>
      </c>
      <c r="I4" s="667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417" t="s">
        <v>32</v>
      </c>
      <c r="B6" s="416" t="s">
        <v>877</v>
      </c>
      <c r="C6" s="415"/>
      <c r="D6" s="140" t="s">
        <v>11</v>
      </c>
      <c r="E6" s="140" t="s">
        <v>10</v>
      </c>
      <c r="F6" s="32">
        <v>219355</v>
      </c>
      <c r="G6" s="32"/>
      <c r="H6" s="32">
        <v>125990</v>
      </c>
      <c r="I6" s="414">
        <f>F6-H6</f>
        <v>93365</v>
      </c>
      <c r="J6" s="413">
        <v>4</v>
      </c>
      <c r="K6" s="413">
        <f>407+390+408+350</f>
        <v>1555</v>
      </c>
      <c r="L6" s="413"/>
      <c r="M6" s="624" t="s">
        <v>1041</v>
      </c>
      <c r="N6" s="71"/>
    </row>
    <row r="7" spans="1:14" s="12" customFormat="1" ht="15.75" x14ac:dyDescent="0.25">
      <c r="A7" s="417" t="s">
        <v>33</v>
      </c>
      <c r="B7" s="416" t="s">
        <v>877</v>
      </c>
      <c r="C7" s="415"/>
      <c r="D7" s="140" t="s">
        <v>11</v>
      </c>
      <c r="E7" s="140" t="s">
        <v>10</v>
      </c>
      <c r="F7" s="32">
        <f>I6</f>
        <v>93365</v>
      </c>
      <c r="G7" s="32"/>
      <c r="H7" s="32">
        <v>61050</v>
      </c>
      <c r="I7" s="414">
        <f>F7-H7</f>
        <v>32315</v>
      </c>
      <c r="J7" s="413">
        <v>2</v>
      </c>
      <c r="K7" s="413">
        <f>349+405</f>
        <v>754</v>
      </c>
      <c r="L7" s="413"/>
      <c r="M7" s="412"/>
      <c r="N7" s="71"/>
    </row>
    <row r="8" spans="1:14" s="12" customFormat="1" ht="15.75" x14ac:dyDescent="0.25">
      <c r="A8" s="417" t="s">
        <v>34</v>
      </c>
      <c r="B8" s="416" t="s">
        <v>1040</v>
      </c>
      <c r="C8" s="415"/>
      <c r="D8" s="140" t="s">
        <v>11</v>
      </c>
      <c r="E8" s="140" t="s">
        <v>10</v>
      </c>
      <c r="F8" s="32">
        <f>I7</f>
        <v>32315</v>
      </c>
      <c r="G8" s="32"/>
      <c r="H8" s="32">
        <v>24490</v>
      </c>
      <c r="I8" s="414">
        <f>F8-H8</f>
        <v>7825</v>
      </c>
      <c r="J8" s="413">
        <v>1</v>
      </c>
      <c r="K8" s="413">
        <v>302</v>
      </c>
      <c r="L8" s="413"/>
      <c r="M8" s="412"/>
      <c r="N8" s="71"/>
    </row>
    <row r="9" spans="1:14" s="12" customFormat="1" ht="15.75" x14ac:dyDescent="0.25">
      <c r="A9" s="417" t="s">
        <v>35</v>
      </c>
      <c r="B9" s="543" t="s">
        <v>916</v>
      </c>
      <c r="C9" s="415"/>
      <c r="D9" s="140" t="s">
        <v>11</v>
      </c>
      <c r="E9" s="140" t="s">
        <v>10</v>
      </c>
      <c r="F9" s="32">
        <f>I8</f>
        <v>7825</v>
      </c>
      <c r="G9" s="32"/>
      <c r="H9" s="32">
        <v>4250</v>
      </c>
      <c r="I9" s="414">
        <f>F9-H9</f>
        <v>3575</v>
      </c>
      <c r="J9" s="413">
        <v>1</v>
      </c>
      <c r="K9" s="413">
        <v>52</v>
      </c>
      <c r="L9" s="413"/>
      <c r="M9" s="412"/>
      <c r="N9" s="71"/>
    </row>
    <row r="10" spans="1:14" s="12" customFormat="1" ht="15.75" x14ac:dyDescent="0.25">
      <c r="A10" s="417" t="s">
        <v>36</v>
      </c>
      <c r="B10" s="543"/>
      <c r="C10" s="415"/>
      <c r="D10" s="140" t="s">
        <v>11</v>
      </c>
      <c r="E10" s="140" t="s">
        <v>10</v>
      </c>
      <c r="F10" s="32"/>
      <c r="G10" s="32"/>
      <c r="H10" s="32"/>
      <c r="I10" s="414">
        <f>F10-H10</f>
        <v>0</v>
      </c>
      <c r="J10" s="413"/>
      <c r="K10" s="413"/>
      <c r="L10" s="413"/>
      <c r="M10" s="412"/>
      <c r="N10" s="71"/>
    </row>
    <row r="11" spans="1:14" s="4" customFormat="1" ht="20.25" x14ac:dyDescent="0.3">
      <c r="A11" s="816" t="s">
        <v>1044</v>
      </c>
      <c r="B11" s="817"/>
      <c r="C11" s="817"/>
      <c r="D11" s="817"/>
      <c r="E11" s="818"/>
      <c r="F11" s="260"/>
      <c r="G11" s="260"/>
      <c r="H11" s="366">
        <f>SUM(H6:H10)</f>
        <v>215780</v>
      </c>
      <c r="I11" s="260">
        <f>F6-H11</f>
        <v>3575</v>
      </c>
      <c r="J11" s="260">
        <f>SUM(J6:J10)</f>
        <v>8</v>
      </c>
      <c r="K11" s="260">
        <f>SUM(K6:K10)</f>
        <v>2663</v>
      </c>
      <c r="L11" s="261"/>
      <c r="M11" s="262">
        <f>+H11-K11</f>
        <v>213117</v>
      </c>
    </row>
    <row r="12" spans="1:14" s="4" customFormat="1" ht="20.25" x14ac:dyDescent="0.3">
      <c r="A12" s="54" t="s">
        <v>32</v>
      </c>
      <c r="B12" s="55" t="s">
        <v>1050</v>
      </c>
      <c r="C12" s="56"/>
      <c r="D12" s="57" t="s">
        <v>11</v>
      </c>
      <c r="E12" s="57" t="s">
        <v>10</v>
      </c>
      <c r="F12" s="33">
        <v>25645</v>
      </c>
      <c r="G12" s="33"/>
      <c r="H12" s="33">
        <v>12340</v>
      </c>
      <c r="I12" s="58">
        <f>F12-H12</f>
        <v>13305</v>
      </c>
      <c r="J12" s="60">
        <v>1</v>
      </c>
      <c r="K12" s="60">
        <v>154</v>
      </c>
      <c r="L12" s="60"/>
      <c r="M12" s="460" t="s">
        <v>1055</v>
      </c>
    </row>
    <row r="13" spans="1:14" ht="15.75" x14ac:dyDescent="0.25">
      <c r="A13" s="54" t="s">
        <v>33</v>
      </c>
      <c r="B13" s="55" t="s">
        <v>1057</v>
      </c>
      <c r="C13" s="56"/>
      <c r="D13" s="57" t="s">
        <v>11</v>
      </c>
      <c r="E13" s="57" t="s">
        <v>10</v>
      </c>
      <c r="F13" s="33">
        <f>F12-H12</f>
        <v>13305</v>
      </c>
      <c r="G13" s="33"/>
      <c r="H13" s="33">
        <v>13200</v>
      </c>
      <c r="I13" s="58">
        <f>F13-H13</f>
        <v>105</v>
      </c>
      <c r="J13" s="60">
        <v>1</v>
      </c>
      <c r="K13" s="60">
        <v>165</v>
      </c>
      <c r="L13" s="60"/>
      <c r="M13" s="69"/>
    </row>
    <row r="14" spans="1:14" ht="15.75" x14ac:dyDescent="0.25">
      <c r="A14" s="54" t="s">
        <v>34</v>
      </c>
      <c r="B14" s="55"/>
      <c r="C14" s="56"/>
      <c r="D14" s="57" t="s">
        <v>11</v>
      </c>
      <c r="E14" s="57" t="s">
        <v>10</v>
      </c>
      <c r="F14" s="33"/>
      <c r="G14" s="33"/>
      <c r="H14" s="33"/>
      <c r="I14" s="58">
        <f t="shared" ref="I14:I16" si="0">F14-H14</f>
        <v>0</v>
      </c>
      <c r="J14" s="60"/>
      <c r="K14" s="60"/>
      <c r="L14" s="60"/>
      <c r="M14" s="69"/>
    </row>
    <row r="15" spans="1:14" ht="15.75" x14ac:dyDescent="0.25">
      <c r="A15" s="54" t="s">
        <v>35</v>
      </c>
      <c r="B15" s="55"/>
      <c r="C15" s="56"/>
      <c r="D15" s="57" t="s">
        <v>11</v>
      </c>
      <c r="E15" s="57" t="s">
        <v>10</v>
      </c>
      <c r="F15" s="33"/>
      <c r="G15" s="33"/>
      <c r="H15" s="33"/>
      <c r="I15" s="58">
        <f t="shared" si="0"/>
        <v>0</v>
      </c>
      <c r="J15" s="60"/>
      <c r="K15" s="60"/>
      <c r="L15" s="60"/>
      <c r="M15" s="69"/>
    </row>
    <row r="16" spans="1:14" s="19" customFormat="1" ht="15.75" x14ac:dyDescent="0.25">
      <c r="A16" s="54" t="s">
        <v>36</v>
      </c>
      <c r="B16" s="55"/>
      <c r="C16" s="56"/>
      <c r="D16" s="57" t="s">
        <v>11</v>
      </c>
      <c r="E16" s="57" t="s">
        <v>10</v>
      </c>
      <c r="F16" s="33"/>
      <c r="G16" s="33"/>
      <c r="H16" s="33"/>
      <c r="I16" s="58">
        <f t="shared" si="0"/>
        <v>0</v>
      </c>
      <c r="J16" s="60"/>
      <c r="K16" s="60"/>
      <c r="L16" s="60"/>
      <c r="M16" s="69"/>
    </row>
    <row r="17" spans="1:13" s="19" customFormat="1" ht="20.25" x14ac:dyDescent="0.3">
      <c r="A17" s="816" t="s">
        <v>1054</v>
      </c>
      <c r="B17" s="817"/>
      <c r="C17" s="817"/>
      <c r="D17" s="817"/>
      <c r="E17" s="818"/>
      <c r="F17" s="260"/>
      <c r="G17" s="260"/>
      <c r="H17" s="366">
        <f>SUM(H12:H16)</f>
        <v>25540</v>
      </c>
      <c r="I17" s="260">
        <f>F12-H17</f>
        <v>105</v>
      </c>
      <c r="J17" s="260">
        <f>SUM(J12:J16)</f>
        <v>2</v>
      </c>
      <c r="K17" s="260">
        <f>SUM(K12:K16)</f>
        <v>319</v>
      </c>
      <c r="L17" s="261"/>
      <c r="M17" s="262">
        <f>H17-K17</f>
        <v>25221</v>
      </c>
    </row>
    <row r="18" spans="1:13" s="19" customFormat="1" ht="20.25" x14ac:dyDescent="0.3">
      <c r="A18" s="820" t="s">
        <v>5</v>
      </c>
      <c r="B18" s="821"/>
      <c r="C18" s="821"/>
      <c r="D18" s="821"/>
      <c r="E18" s="822"/>
      <c r="F18" s="66"/>
      <c r="G18" s="66"/>
      <c r="H18" s="681">
        <f>H11+H17</f>
        <v>241320</v>
      </c>
      <c r="I18" s="66">
        <f>'ĐIỀU KHO 2.1'!M40</f>
        <v>3890</v>
      </c>
      <c r="J18" s="66">
        <f>J11+J17</f>
        <v>10</v>
      </c>
      <c r="K18" s="66">
        <f>K11+K17</f>
        <v>2982</v>
      </c>
      <c r="L18" s="267"/>
      <c r="M18" s="268">
        <f>M17+M11</f>
        <v>238338</v>
      </c>
    </row>
    <row r="19" spans="1:13" s="19" customFormat="1" x14ac:dyDescent="0.25">
      <c r="A19" s="29"/>
      <c r="B19" s="29"/>
      <c r="C19" s="18"/>
      <c r="D19"/>
      <c r="E19"/>
      <c r="G19"/>
      <c r="H19"/>
      <c r="I19"/>
      <c r="J19"/>
      <c r="K19"/>
      <c r="L19"/>
      <c r="M19"/>
    </row>
  </sheetData>
  <mergeCells count="7">
    <mergeCell ref="A18:E18"/>
    <mergeCell ref="A1:M1"/>
    <mergeCell ref="A2:M2"/>
    <mergeCell ref="J4:J5"/>
    <mergeCell ref="K4:L4"/>
    <mergeCell ref="A11:E11"/>
    <mergeCell ref="A17:E17"/>
  </mergeCells>
  <hyperlinks>
    <hyperlink ref="H3" location="'ĐIỀU KHO 2.1'!A41" display="BILL 6340"/>
  </hyperlink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49"/>
  <sheetViews>
    <sheetView showGridLines="0" topLeftCell="A13" zoomScaleNormal="100" workbookViewId="0">
      <selection activeCell="G25" sqref="G25"/>
    </sheetView>
  </sheetViews>
  <sheetFormatPr defaultRowHeight="15" x14ac:dyDescent="0.25"/>
  <cols>
    <col min="1" max="1" width="22.140625" style="591" customWidth="1"/>
    <col min="2" max="2" width="13.5703125" style="563" bestFit="1" customWidth="1"/>
    <col min="3" max="3" width="15.28515625" style="563" bestFit="1" customWidth="1"/>
    <col min="4" max="4" width="18.7109375" style="563" bestFit="1" customWidth="1"/>
    <col min="5" max="5" width="17.85546875" style="563" customWidth="1"/>
    <col min="6" max="6" width="17.28515625" style="563" customWidth="1"/>
    <col min="7" max="7" width="20" style="563" bestFit="1" customWidth="1"/>
    <col min="8" max="8" width="4.140625" style="592" customWidth="1"/>
    <col min="9" max="11" width="15.140625" style="563" customWidth="1"/>
    <col min="12" max="12" width="19" style="563" customWidth="1"/>
    <col min="13" max="13" width="18.85546875" style="563" customWidth="1"/>
    <col min="14" max="19" width="11" style="563" customWidth="1"/>
    <col min="20" max="16384" width="9.140625" style="563"/>
  </cols>
  <sheetData>
    <row r="1" spans="1:13" ht="33.75" x14ac:dyDescent="0.5">
      <c r="A1" s="725" t="s">
        <v>68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</row>
    <row r="2" spans="1:13" ht="33.75" x14ac:dyDescent="0.5">
      <c r="A2" s="726" t="s">
        <v>70</v>
      </c>
      <c r="B2" s="727"/>
      <c r="C2" s="727"/>
      <c r="D2" s="727"/>
      <c r="E2" s="727"/>
      <c r="F2" s="727"/>
      <c r="G2" s="728"/>
      <c r="H2" s="564"/>
      <c r="I2" s="727" t="s">
        <v>49</v>
      </c>
      <c r="J2" s="727"/>
      <c r="K2" s="727"/>
      <c r="L2" s="728"/>
    </row>
    <row r="3" spans="1:13" ht="19.5" x14ac:dyDescent="0.3">
      <c r="A3" s="565" t="s">
        <v>69</v>
      </c>
      <c r="B3" s="566" t="s">
        <v>77</v>
      </c>
      <c r="C3" s="566" t="s">
        <v>76</v>
      </c>
      <c r="D3" s="567" t="s">
        <v>965</v>
      </c>
      <c r="E3" s="567" t="s">
        <v>965</v>
      </c>
      <c r="F3" s="567" t="s">
        <v>540</v>
      </c>
      <c r="G3" s="566" t="s">
        <v>75</v>
      </c>
      <c r="H3" s="569"/>
      <c r="I3" s="568" t="s">
        <v>965</v>
      </c>
      <c r="J3" s="568" t="s">
        <v>965</v>
      </c>
      <c r="K3" s="568" t="s">
        <v>540</v>
      </c>
      <c r="L3" s="566" t="s">
        <v>75</v>
      </c>
    </row>
    <row r="4" spans="1:13" ht="16.5" x14ac:dyDescent="0.25">
      <c r="A4" s="729" t="s">
        <v>933</v>
      </c>
      <c r="B4" s="570" t="s">
        <v>967</v>
      </c>
      <c r="C4" s="570" t="s">
        <v>988</v>
      </c>
      <c r="D4" s="571">
        <v>0</v>
      </c>
      <c r="E4" s="571">
        <v>0</v>
      </c>
      <c r="F4" s="571">
        <v>29852720</v>
      </c>
      <c r="G4" s="571">
        <v>29852720</v>
      </c>
      <c r="H4" s="573"/>
      <c r="I4" s="571">
        <v>0</v>
      </c>
      <c r="J4" s="571">
        <v>0</v>
      </c>
      <c r="K4" s="571">
        <v>0</v>
      </c>
      <c r="L4" s="571">
        <v>0</v>
      </c>
    </row>
    <row r="5" spans="1:13" ht="16.5" x14ac:dyDescent="0.25">
      <c r="A5" s="730"/>
      <c r="B5" s="570"/>
      <c r="C5" s="570"/>
      <c r="D5" s="571"/>
      <c r="E5" s="571"/>
      <c r="F5" s="571"/>
      <c r="G5" s="571"/>
      <c r="H5" s="573"/>
      <c r="I5" s="571"/>
      <c r="J5" s="571"/>
      <c r="K5" s="571"/>
      <c r="L5" s="571"/>
    </row>
    <row r="6" spans="1:13" ht="19.5" x14ac:dyDescent="0.3">
      <c r="A6" s="574"/>
      <c r="B6" s="575"/>
      <c r="C6" s="575"/>
      <c r="D6" s="575">
        <f t="shared" ref="D6:E6" si="0">SUM(D4:D5)</f>
        <v>0</v>
      </c>
      <c r="E6" s="575">
        <f t="shared" si="0"/>
        <v>0</v>
      </c>
      <c r="F6" s="575">
        <f>SUM(F4:F5)</f>
        <v>29852720</v>
      </c>
      <c r="G6" s="575">
        <f>SUM(G4:G5)</f>
        <v>29852720</v>
      </c>
      <c r="H6" s="573"/>
      <c r="I6" s="575">
        <f t="shared" ref="I6:L6" si="1">SUM(I4:I5)</f>
        <v>0</v>
      </c>
      <c r="J6" s="575">
        <f t="shared" si="1"/>
        <v>0</v>
      </c>
      <c r="K6" s="575">
        <f t="shared" si="1"/>
        <v>0</v>
      </c>
      <c r="L6" s="575">
        <f t="shared" si="1"/>
        <v>0</v>
      </c>
    </row>
    <row r="7" spans="1:13" ht="19.5" x14ac:dyDescent="0.3">
      <c r="A7" s="565" t="s">
        <v>69</v>
      </c>
      <c r="B7" s="566" t="s">
        <v>77</v>
      </c>
      <c r="C7" s="566" t="s">
        <v>76</v>
      </c>
      <c r="D7" s="567" t="s">
        <v>965</v>
      </c>
      <c r="E7" s="567" t="s">
        <v>965</v>
      </c>
      <c r="F7" s="567" t="s">
        <v>540</v>
      </c>
      <c r="G7" s="566" t="s">
        <v>75</v>
      </c>
      <c r="H7" s="569"/>
      <c r="I7" s="568" t="s">
        <v>965</v>
      </c>
      <c r="J7" s="568" t="s">
        <v>965</v>
      </c>
      <c r="K7" s="568" t="s">
        <v>540</v>
      </c>
      <c r="L7" s="566" t="s">
        <v>75</v>
      </c>
    </row>
    <row r="8" spans="1:13" ht="19.5" x14ac:dyDescent="0.3">
      <c r="A8" s="729" t="s">
        <v>1120</v>
      </c>
      <c r="B8" s="570" t="s">
        <v>967</v>
      </c>
      <c r="C8" s="570" t="s">
        <v>988</v>
      </c>
      <c r="D8" s="571">
        <f>D18+D19+D20+D21+D22+D23+D24+D25+D26+D27+D28+D29+D30+D31+D32+D33+D34+D35+D36+D37+D38+D39+D40+D41+D42+D43+D44+D45+D46+D47+D48</f>
        <v>0</v>
      </c>
      <c r="E8" s="571">
        <f>E18+E19+E20+E21+E22+E23+E24+E25+E26+E27+E28+E29+E30+E31+E32+E33+E34+E35+E36+E37+E38+E39+E40+E41+E42+E43+E44+E45+E46+E47+E48</f>
        <v>0</v>
      </c>
      <c r="F8" s="571">
        <f>F18+F19+F20+F21+F22+F23+F24+F25+F26+F27+F28+F29+F30+F31+F32+F33+F34+F35+F36+F37+F38+F39+F40+F41+F42+F43+F44+F45+F46+F47+F48</f>
        <v>0</v>
      </c>
      <c r="G8" s="571">
        <f>G18+G19+G20+G21+G22+G23+G24+G25+G26+G27+G28+G29+G30+G31+G32+G33+G34+G35+G36+G37+G38+G39+G40+G41+G42+G43+G44+G45+G46+G47+G48</f>
        <v>0</v>
      </c>
      <c r="H8" s="569"/>
      <c r="I8" s="571">
        <f t="shared" ref="I8:L8" si="2">I18+I19+I20+I21+I22+I23+I24+I25+I26+I27+I28+I29+I30+I31+I32+I33+I34+I35+I36+I37+I38+I39+I40+I41+I42+I43+I44+I45+I46+I47+I48</f>
        <v>0</v>
      </c>
      <c r="J8" s="571">
        <f>J18+J19+J20+J21+J22+J23+J24+J25+J26+J27+J28+J29+J30+J31+J32+J33+J34+J35+J36+J37+J38+J39+J40+J41+J42+J43+J44+J45+J46+J47+J48</f>
        <v>0</v>
      </c>
      <c r="K8" s="571">
        <f t="shared" si="2"/>
        <v>0</v>
      </c>
      <c r="L8" s="571">
        <f t="shared" si="2"/>
        <v>0</v>
      </c>
    </row>
    <row r="9" spans="1:13" ht="16.5" x14ac:dyDescent="0.25">
      <c r="A9" s="730"/>
      <c r="B9" s="570"/>
      <c r="C9" s="570"/>
      <c r="D9" s="571"/>
      <c r="E9" s="571"/>
      <c r="F9" s="571"/>
      <c r="G9" s="571"/>
      <c r="H9" s="573"/>
      <c r="I9" s="571"/>
      <c r="J9" s="571"/>
      <c r="K9" s="571"/>
      <c r="L9" s="571"/>
    </row>
    <row r="10" spans="1:13" ht="19.5" x14ac:dyDescent="0.3">
      <c r="A10" s="574"/>
      <c r="B10" s="575"/>
      <c r="C10" s="575"/>
      <c r="D10" s="575">
        <f t="shared" ref="D10:E10" si="3">SUM(D8:D9)</f>
        <v>0</v>
      </c>
      <c r="E10" s="575">
        <f t="shared" si="3"/>
        <v>0</v>
      </c>
      <c r="F10" s="575">
        <f>SUM(F8:F9)</f>
        <v>0</v>
      </c>
      <c r="G10" s="575">
        <f>SUM(G8:G9)</f>
        <v>0</v>
      </c>
      <c r="H10" s="573"/>
      <c r="I10" s="575">
        <f t="shared" ref="I10:L10" si="4">SUM(I8:I9)</f>
        <v>0</v>
      </c>
      <c r="J10" s="575">
        <f t="shared" si="4"/>
        <v>0</v>
      </c>
      <c r="K10" s="575">
        <f t="shared" si="4"/>
        <v>0</v>
      </c>
      <c r="L10" s="575">
        <f t="shared" si="4"/>
        <v>0</v>
      </c>
    </row>
    <row r="11" spans="1:13" s="580" customFormat="1" ht="19.5" x14ac:dyDescent="0.3">
      <c r="A11" s="576"/>
      <c r="B11" s="577"/>
      <c r="C11" s="577"/>
      <c r="D11" s="577"/>
      <c r="E11" s="577"/>
      <c r="F11" s="577"/>
      <c r="G11" s="577"/>
      <c r="H11" s="578"/>
      <c r="I11" s="579"/>
      <c r="J11" s="579"/>
      <c r="L11" s="579"/>
    </row>
    <row r="12" spans="1:13" ht="19.5" x14ac:dyDescent="0.3">
      <c r="A12" s="735" t="s">
        <v>964</v>
      </c>
      <c r="B12" s="735"/>
      <c r="C12" s="735"/>
      <c r="D12" s="581">
        <f>(D6+D10)-(I6+I10)</f>
        <v>0</v>
      </c>
      <c r="E12" s="581">
        <f t="shared" ref="E12:G12" si="5">(E6+E10)-(J6+J10)</f>
        <v>0</v>
      </c>
      <c r="F12" s="581">
        <f t="shared" si="5"/>
        <v>29852720</v>
      </c>
      <c r="G12" s="581">
        <f t="shared" si="5"/>
        <v>29852720</v>
      </c>
      <c r="H12" s="582"/>
      <c r="I12" s="579"/>
      <c r="J12" s="579"/>
      <c r="K12" s="583"/>
      <c r="L12" s="582"/>
    </row>
    <row r="13" spans="1:13" ht="19.5" x14ac:dyDescent="0.3">
      <c r="A13" s="584"/>
      <c r="B13" s="584"/>
      <c r="C13" s="584"/>
      <c r="D13" s="581"/>
      <c r="E13" s="581"/>
      <c r="F13" s="581"/>
      <c r="G13" s="581"/>
      <c r="H13" s="582"/>
      <c r="I13" s="593"/>
      <c r="J13" s="582"/>
      <c r="K13" s="582"/>
      <c r="L13" s="582"/>
    </row>
    <row r="14" spans="1:13" ht="26.25" customHeight="1" x14ac:dyDescent="0.35">
      <c r="A14" s="736" t="s">
        <v>1118</v>
      </c>
      <c r="B14" s="736"/>
      <c r="C14" s="736"/>
      <c r="D14" s="736"/>
      <c r="E14" s="736"/>
      <c r="F14" s="736"/>
      <c r="G14" s="736"/>
      <c r="H14" s="736"/>
      <c r="I14" s="736"/>
      <c r="J14" s="736"/>
      <c r="K14" s="736"/>
      <c r="L14" s="736"/>
    </row>
    <row r="15" spans="1:13" ht="33.75" x14ac:dyDescent="0.5">
      <c r="A15" s="737" t="s">
        <v>70</v>
      </c>
      <c r="B15" s="738"/>
      <c r="C15" s="738"/>
      <c r="D15" s="738"/>
      <c r="E15" s="738"/>
      <c r="F15" s="738"/>
      <c r="G15" s="739"/>
      <c r="H15" s="564"/>
      <c r="I15" s="740" t="s">
        <v>49</v>
      </c>
      <c r="J15" s="740"/>
      <c r="K15" s="740"/>
      <c r="L15" s="741"/>
    </row>
    <row r="16" spans="1:13" ht="19.5" x14ac:dyDescent="0.3">
      <c r="A16" s="734" t="s">
        <v>1117</v>
      </c>
      <c r="B16" s="734"/>
      <c r="C16" s="734"/>
      <c r="D16" s="585">
        <f>D49</f>
        <v>0</v>
      </c>
      <c r="E16" s="585">
        <f>E49</f>
        <v>0</v>
      </c>
      <c r="F16" s="585">
        <f>F49</f>
        <v>0</v>
      </c>
      <c r="G16" s="717">
        <f>SUM(D16:F16)</f>
        <v>0</v>
      </c>
      <c r="H16" s="569"/>
      <c r="I16" s="585">
        <f>I49</f>
        <v>0</v>
      </c>
      <c r="J16" s="585">
        <f>J49</f>
        <v>0</v>
      </c>
      <c r="K16" s="585">
        <f>K49</f>
        <v>0</v>
      </c>
      <c r="L16" s="717">
        <f>SUM(I16:K16)</f>
        <v>0</v>
      </c>
      <c r="M16" s="563" t="s">
        <v>250</v>
      </c>
    </row>
    <row r="17" spans="1:12" ht="19.5" x14ac:dyDescent="0.3">
      <c r="A17" s="565" t="s">
        <v>69</v>
      </c>
      <c r="B17" s="586" t="s">
        <v>77</v>
      </c>
      <c r="C17" s="566" t="s">
        <v>76</v>
      </c>
      <c r="D17" s="567" t="s">
        <v>965</v>
      </c>
      <c r="E17" s="567" t="s">
        <v>965</v>
      </c>
      <c r="F17" s="567" t="s">
        <v>540</v>
      </c>
      <c r="G17" s="566" t="s">
        <v>78</v>
      </c>
      <c r="H17" s="569"/>
      <c r="I17" s="568" t="s">
        <v>965</v>
      </c>
      <c r="J17" s="568" t="s">
        <v>965</v>
      </c>
      <c r="K17" s="568" t="s">
        <v>540</v>
      </c>
      <c r="L17" s="566" t="s">
        <v>78</v>
      </c>
    </row>
    <row r="18" spans="1:12" ht="16.5" x14ac:dyDescent="0.25">
      <c r="A18" s="594">
        <v>44830</v>
      </c>
      <c r="B18" s="570" t="s">
        <v>966</v>
      </c>
      <c r="C18" s="570" t="s">
        <v>988</v>
      </c>
      <c r="D18" s="570"/>
      <c r="E18" s="572"/>
      <c r="F18" s="570"/>
      <c r="G18" s="570">
        <f t="shared" ref="G18:G39" si="6">SUM(D18:F18)</f>
        <v>0</v>
      </c>
      <c r="H18" s="587"/>
      <c r="I18" s="570"/>
      <c r="J18" s="570"/>
      <c r="K18" s="570"/>
      <c r="L18" s="570">
        <f t="shared" ref="L18:L33" si="7">SUM(I18:K18)</f>
        <v>0</v>
      </c>
    </row>
    <row r="19" spans="1:12" ht="16.5" x14ac:dyDescent="0.25">
      <c r="A19" s="594">
        <v>44831</v>
      </c>
      <c r="B19" s="570" t="s">
        <v>966</v>
      </c>
      <c r="C19" s="570" t="s">
        <v>988</v>
      </c>
      <c r="D19" s="570"/>
      <c r="E19" s="570"/>
      <c r="F19" s="570"/>
      <c r="G19" s="570">
        <f t="shared" si="6"/>
        <v>0</v>
      </c>
      <c r="H19" s="587"/>
      <c r="I19" s="570"/>
      <c r="J19" s="570"/>
      <c r="K19" s="570"/>
      <c r="L19" s="570">
        <f t="shared" si="7"/>
        <v>0</v>
      </c>
    </row>
    <row r="20" spans="1:12" ht="16.5" x14ac:dyDescent="0.25">
      <c r="A20" s="594">
        <v>44832</v>
      </c>
      <c r="B20" s="570" t="s">
        <v>966</v>
      </c>
      <c r="C20" s="570" t="s">
        <v>988</v>
      </c>
      <c r="D20" s="570"/>
      <c r="E20" s="570"/>
      <c r="F20" s="570"/>
      <c r="G20" s="570">
        <f t="shared" si="6"/>
        <v>0</v>
      </c>
      <c r="H20" s="587"/>
      <c r="I20" s="570"/>
      <c r="J20" s="570"/>
      <c r="K20" s="570"/>
      <c r="L20" s="570">
        <f t="shared" si="7"/>
        <v>0</v>
      </c>
    </row>
    <row r="21" spans="1:12" ht="16.5" x14ac:dyDescent="0.25">
      <c r="A21" s="594">
        <v>44833</v>
      </c>
      <c r="B21" s="570" t="s">
        <v>966</v>
      </c>
      <c r="C21" s="570" t="s">
        <v>988</v>
      </c>
      <c r="D21" s="570"/>
      <c r="E21" s="570"/>
      <c r="F21" s="570"/>
      <c r="G21" s="570">
        <f t="shared" si="6"/>
        <v>0</v>
      </c>
      <c r="H21" s="587"/>
      <c r="I21" s="570"/>
      <c r="J21" s="570"/>
      <c r="K21" s="570"/>
      <c r="L21" s="570">
        <f t="shared" si="7"/>
        <v>0</v>
      </c>
    </row>
    <row r="22" spans="1:12" ht="16.5" x14ac:dyDescent="0.25">
      <c r="A22" s="594">
        <v>44834</v>
      </c>
      <c r="B22" s="570" t="s">
        <v>966</v>
      </c>
      <c r="C22" s="570" t="s">
        <v>988</v>
      </c>
      <c r="D22" s="570"/>
      <c r="E22" s="570"/>
      <c r="F22" s="570"/>
      <c r="G22" s="570">
        <f t="shared" si="6"/>
        <v>0</v>
      </c>
      <c r="H22" s="587"/>
      <c r="I22" s="570"/>
      <c r="J22" s="570"/>
      <c r="K22" s="570"/>
      <c r="L22" s="570">
        <f t="shared" si="7"/>
        <v>0</v>
      </c>
    </row>
    <row r="23" spans="1:12" ht="16.5" x14ac:dyDescent="0.25">
      <c r="A23" s="594" t="s">
        <v>1119</v>
      </c>
      <c r="B23" s="570" t="s">
        <v>966</v>
      </c>
      <c r="C23" s="570" t="s">
        <v>988</v>
      </c>
      <c r="D23" s="570"/>
      <c r="E23" s="570"/>
      <c r="F23" s="572"/>
      <c r="G23" s="570">
        <f t="shared" si="6"/>
        <v>0</v>
      </c>
      <c r="H23" s="587"/>
      <c r="I23" s="570"/>
      <c r="J23" s="570"/>
      <c r="K23" s="570"/>
      <c r="L23" s="570">
        <f t="shared" si="7"/>
        <v>0</v>
      </c>
    </row>
    <row r="24" spans="1:12" s="589" customFormat="1" ht="16.5" x14ac:dyDescent="0.25">
      <c r="A24" s="594">
        <v>44835</v>
      </c>
      <c r="B24" s="570" t="s">
        <v>966</v>
      </c>
      <c r="C24" s="570" t="s">
        <v>988</v>
      </c>
      <c r="D24" s="570"/>
      <c r="E24" s="570"/>
      <c r="F24" s="570"/>
      <c r="G24" s="570">
        <f t="shared" si="6"/>
        <v>0</v>
      </c>
      <c r="H24" s="587"/>
      <c r="I24" s="570"/>
      <c r="J24" s="570"/>
      <c r="K24" s="570"/>
      <c r="L24" s="570">
        <f t="shared" si="7"/>
        <v>0</v>
      </c>
    </row>
    <row r="25" spans="1:12" ht="16.5" x14ac:dyDescent="0.25">
      <c r="A25" s="594">
        <v>44836</v>
      </c>
      <c r="B25" s="570" t="s">
        <v>966</v>
      </c>
      <c r="C25" s="570" t="s">
        <v>988</v>
      </c>
      <c r="D25" s="570"/>
      <c r="E25" s="570"/>
      <c r="F25" s="570"/>
      <c r="G25" s="570">
        <f t="shared" si="6"/>
        <v>0</v>
      </c>
      <c r="H25" s="587"/>
      <c r="I25" s="570"/>
      <c r="J25" s="570"/>
      <c r="K25" s="570"/>
      <c r="L25" s="570">
        <f t="shared" si="7"/>
        <v>0</v>
      </c>
    </row>
    <row r="26" spans="1:12" s="589" customFormat="1" ht="16.5" x14ac:dyDescent="0.25">
      <c r="A26" s="594">
        <v>44837</v>
      </c>
      <c r="B26" s="570" t="s">
        <v>966</v>
      </c>
      <c r="C26" s="570" t="s">
        <v>988</v>
      </c>
      <c r="D26" s="570"/>
      <c r="E26" s="570"/>
      <c r="F26" s="570"/>
      <c r="G26" s="570">
        <f t="shared" si="6"/>
        <v>0</v>
      </c>
      <c r="H26" s="587"/>
      <c r="I26" s="570"/>
      <c r="J26" s="570"/>
      <c r="K26" s="570"/>
      <c r="L26" s="570">
        <f t="shared" si="7"/>
        <v>0</v>
      </c>
    </row>
    <row r="27" spans="1:12" ht="16.5" x14ac:dyDescent="0.25">
      <c r="A27" s="595">
        <v>44838</v>
      </c>
      <c r="B27" s="570" t="s">
        <v>966</v>
      </c>
      <c r="C27" s="570" t="s">
        <v>988</v>
      </c>
      <c r="D27" s="572"/>
      <c r="E27" s="572"/>
      <c r="F27" s="572"/>
      <c r="G27" s="572">
        <f t="shared" si="6"/>
        <v>0</v>
      </c>
      <c r="H27" s="587"/>
      <c r="I27" s="572"/>
      <c r="J27" s="572"/>
      <c r="K27" s="572"/>
      <c r="L27" s="572">
        <f t="shared" si="7"/>
        <v>0</v>
      </c>
    </row>
    <row r="28" spans="1:12" ht="16.5" x14ac:dyDescent="0.25">
      <c r="A28" s="594">
        <v>44839</v>
      </c>
      <c r="B28" s="570" t="s">
        <v>966</v>
      </c>
      <c r="C28" s="570" t="s">
        <v>988</v>
      </c>
      <c r="D28" s="570"/>
      <c r="E28" s="570"/>
      <c r="F28" s="570"/>
      <c r="G28" s="570">
        <f t="shared" si="6"/>
        <v>0</v>
      </c>
      <c r="H28" s="587"/>
      <c r="I28" s="570"/>
      <c r="J28" s="570"/>
      <c r="K28" s="570"/>
      <c r="L28" s="570">
        <f t="shared" si="7"/>
        <v>0</v>
      </c>
    </row>
    <row r="29" spans="1:12" ht="16.5" x14ac:dyDescent="0.25">
      <c r="A29" s="595">
        <v>44840</v>
      </c>
      <c r="B29" s="570" t="s">
        <v>966</v>
      </c>
      <c r="C29" s="570" t="s">
        <v>988</v>
      </c>
      <c r="D29" s="572"/>
      <c r="E29" s="572"/>
      <c r="F29" s="572"/>
      <c r="G29" s="572">
        <f t="shared" si="6"/>
        <v>0</v>
      </c>
      <c r="H29" s="587"/>
      <c r="I29" s="572"/>
      <c r="J29" s="572"/>
      <c r="K29" s="572"/>
      <c r="L29" s="572">
        <f t="shared" si="7"/>
        <v>0</v>
      </c>
    </row>
    <row r="30" spans="1:12" ht="16.5" x14ac:dyDescent="0.25">
      <c r="A30" s="594">
        <v>44841</v>
      </c>
      <c r="B30" s="570" t="s">
        <v>966</v>
      </c>
      <c r="C30" s="570" t="s">
        <v>988</v>
      </c>
      <c r="D30" s="570"/>
      <c r="E30" s="570"/>
      <c r="F30" s="570"/>
      <c r="G30" s="570">
        <f t="shared" si="6"/>
        <v>0</v>
      </c>
      <c r="H30" s="587"/>
      <c r="I30" s="570"/>
      <c r="J30" s="570"/>
      <c r="K30" s="570"/>
      <c r="L30" s="570">
        <f t="shared" si="7"/>
        <v>0</v>
      </c>
    </row>
    <row r="31" spans="1:12" ht="16.5" x14ac:dyDescent="0.25">
      <c r="A31" s="594">
        <v>44842</v>
      </c>
      <c r="B31" s="570" t="s">
        <v>966</v>
      </c>
      <c r="C31" s="570" t="s">
        <v>988</v>
      </c>
      <c r="D31" s="570"/>
      <c r="E31" s="570"/>
      <c r="F31" s="570"/>
      <c r="G31" s="570">
        <f t="shared" si="6"/>
        <v>0</v>
      </c>
      <c r="H31" s="587"/>
      <c r="I31" s="570"/>
      <c r="J31" s="570"/>
      <c r="K31" s="570"/>
      <c r="L31" s="570">
        <f t="shared" si="7"/>
        <v>0</v>
      </c>
    </row>
    <row r="32" spans="1:12" ht="18.75" customHeight="1" x14ac:dyDescent="0.25">
      <c r="A32" s="594">
        <v>44843</v>
      </c>
      <c r="B32" s="570" t="s">
        <v>966</v>
      </c>
      <c r="C32" s="570" t="s">
        <v>988</v>
      </c>
      <c r="D32" s="570"/>
      <c r="E32" s="570"/>
      <c r="F32" s="570"/>
      <c r="G32" s="570">
        <f t="shared" si="6"/>
        <v>0</v>
      </c>
      <c r="H32" s="587"/>
      <c r="I32" s="570"/>
      <c r="J32" s="570"/>
      <c r="K32" s="570"/>
      <c r="L32" s="570">
        <f t="shared" si="7"/>
        <v>0</v>
      </c>
    </row>
    <row r="33" spans="1:12" ht="16.5" x14ac:dyDescent="0.25">
      <c r="A33" s="594">
        <v>44844</v>
      </c>
      <c r="B33" s="570" t="s">
        <v>966</v>
      </c>
      <c r="C33" s="570" t="s">
        <v>988</v>
      </c>
      <c r="D33" s="570"/>
      <c r="E33" s="570"/>
      <c r="F33" s="588"/>
      <c r="G33" s="570">
        <f t="shared" si="6"/>
        <v>0</v>
      </c>
      <c r="H33" s="587"/>
      <c r="I33" s="570"/>
      <c r="J33" s="570"/>
      <c r="K33" s="570"/>
      <c r="L33" s="570">
        <f t="shared" si="7"/>
        <v>0</v>
      </c>
    </row>
    <row r="34" spans="1:12" ht="16.5" x14ac:dyDescent="0.25">
      <c r="A34" s="594">
        <v>44845</v>
      </c>
      <c r="B34" s="570" t="s">
        <v>966</v>
      </c>
      <c r="C34" s="570" t="s">
        <v>988</v>
      </c>
      <c r="D34" s="570"/>
      <c r="E34" s="570"/>
      <c r="F34" s="570"/>
      <c r="G34" s="570">
        <f t="shared" si="6"/>
        <v>0</v>
      </c>
      <c r="H34" s="587"/>
      <c r="I34" s="570"/>
      <c r="J34" s="570"/>
      <c r="K34" s="570"/>
      <c r="L34" s="570">
        <f t="shared" ref="L34:L48" si="8">SUM(I34:K34)</f>
        <v>0</v>
      </c>
    </row>
    <row r="35" spans="1:12" ht="16.5" x14ac:dyDescent="0.25">
      <c r="A35" s="594">
        <v>44846</v>
      </c>
      <c r="B35" s="570" t="s">
        <v>966</v>
      </c>
      <c r="C35" s="570" t="s">
        <v>988</v>
      </c>
      <c r="D35" s="570"/>
      <c r="E35" s="570"/>
      <c r="F35" s="570"/>
      <c r="G35" s="570">
        <f t="shared" si="6"/>
        <v>0</v>
      </c>
      <c r="H35" s="587"/>
      <c r="I35" s="570"/>
      <c r="J35" s="570"/>
      <c r="K35" s="570"/>
      <c r="L35" s="570">
        <f t="shared" si="8"/>
        <v>0</v>
      </c>
    </row>
    <row r="36" spans="1:12" ht="16.5" x14ac:dyDescent="0.25">
      <c r="A36" s="594">
        <v>44847</v>
      </c>
      <c r="B36" s="570" t="s">
        <v>966</v>
      </c>
      <c r="C36" s="570" t="s">
        <v>988</v>
      </c>
      <c r="D36" s="570"/>
      <c r="E36" s="570"/>
      <c r="F36" s="570"/>
      <c r="G36" s="570">
        <f t="shared" si="6"/>
        <v>0</v>
      </c>
      <c r="H36" s="587"/>
      <c r="I36" s="570"/>
      <c r="J36" s="570"/>
      <c r="K36" s="570"/>
      <c r="L36" s="570">
        <f t="shared" si="8"/>
        <v>0</v>
      </c>
    </row>
    <row r="37" spans="1:12" ht="16.5" x14ac:dyDescent="0.25">
      <c r="A37" s="594">
        <v>44848</v>
      </c>
      <c r="B37" s="570" t="s">
        <v>966</v>
      </c>
      <c r="C37" s="570" t="s">
        <v>988</v>
      </c>
      <c r="D37" s="570"/>
      <c r="E37" s="570"/>
      <c r="F37" s="570"/>
      <c r="G37" s="570">
        <f t="shared" si="6"/>
        <v>0</v>
      </c>
      <c r="H37" s="587"/>
      <c r="I37" s="570"/>
      <c r="J37" s="570"/>
      <c r="K37" s="570"/>
      <c r="L37" s="570">
        <f t="shared" si="8"/>
        <v>0</v>
      </c>
    </row>
    <row r="38" spans="1:12" ht="16.5" customHeight="1" x14ac:dyDescent="0.25">
      <c r="A38" s="594">
        <v>44849</v>
      </c>
      <c r="B38" s="570" t="s">
        <v>966</v>
      </c>
      <c r="C38" s="570" t="s">
        <v>988</v>
      </c>
      <c r="D38" s="570"/>
      <c r="E38" s="570"/>
      <c r="F38" s="570"/>
      <c r="G38" s="570">
        <f t="shared" si="6"/>
        <v>0</v>
      </c>
      <c r="H38" s="587"/>
      <c r="I38" s="570"/>
      <c r="J38" s="570"/>
      <c r="K38" s="570"/>
      <c r="L38" s="570">
        <f t="shared" si="8"/>
        <v>0</v>
      </c>
    </row>
    <row r="39" spans="1:12" ht="16.5" customHeight="1" x14ac:dyDescent="0.25">
      <c r="A39" s="594">
        <v>44850</v>
      </c>
      <c r="B39" s="570" t="s">
        <v>966</v>
      </c>
      <c r="C39" s="570" t="s">
        <v>988</v>
      </c>
      <c r="D39" s="570"/>
      <c r="E39" s="570"/>
      <c r="F39" s="570"/>
      <c r="G39" s="570">
        <f t="shared" si="6"/>
        <v>0</v>
      </c>
      <c r="H39" s="587"/>
      <c r="I39" s="570"/>
      <c r="J39" s="570"/>
      <c r="K39" s="570"/>
      <c r="L39" s="570">
        <f t="shared" si="8"/>
        <v>0</v>
      </c>
    </row>
    <row r="40" spans="1:12" ht="16.5" x14ac:dyDescent="0.25">
      <c r="A40" s="594">
        <v>44851</v>
      </c>
      <c r="B40" s="570" t="s">
        <v>966</v>
      </c>
      <c r="C40" s="570" t="s">
        <v>988</v>
      </c>
      <c r="D40" s="570"/>
      <c r="E40" s="570"/>
      <c r="F40" s="570"/>
      <c r="G40" s="570">
        <f t="shared" ref="G40:G48" si="9">SUM(D40:F40)</f>
        <v>0</v>
      </c>
      <c r="H40" s="587"/>
      <c r="I40" s="570"/>
      <c r="J40" s="570"/>
      <c r="K40" s="570"/>
      <c r="L40" s="570">
        <f t="shared" si="8"/>
        <v>0</v>
      </c>
    </row>
    <row r="41" spans="1:12" ht="16.5" x14ac:dyDescent="0.25">
      <c r="A41" s="594">
        <v>44852</v>
      </c>
      <c r="B41" s="570" t="s">
        <v>966</v>
      </c>
      <c r="C41" s="615" t="s">
        <v>988</v>
      </c>
      <c r="D41" s="570"/>
      <c r="E41" s="570"/>
      <c r="F41" s="570"/>
      <c r="G41" s="570">
        <f t="shared" si="9"/>
        <v>0</v>
      </c>
      <c r="H41" s="587"/>
      <c r="I41" s="570"/>
      <c r="J41" s="570"/>
      <c r="K41" s="570"/>
      <c r="L41" s="570">
        <f t="shared" si="8"/>
        <v>0</v>
      </c>
    </row>
    <row r="42" spans="1:12" ht="16.5" x14ac:dyDescent="0.25">
      <c r="A42" s="594">
        <v>44853</v>
      </c>
      <c r="B42" s="570" t="s">
        <v>966</v>
      </c>
      <c r="C42" s="570" t="s">
        <v>988</v>
      </c>
      <c r="D42" s="570"/>
      <c r="E42" s="570"/>
      <c r="F42" s="570"/>
      <c r="G42" s="570">
        <f t="shared" si="9"/>
        <v>0</v>
      </c>
      <c r="H42" s="587"/>
      <c r="I42" s="570"/>
      <c r="J42" s="570"/>
      <c r="K42" s="570"/>
      <c r="L42" s="570">
        <f t="shared" si="8"/>
        <v>0</v>
      </c>
    </row>
    <row r="43" spans="1:12" ht="16.5" x14ac:dyDescent="0.25">
      <c r="A43" s="594">
        <v>44854</v>
      </c>
      <c r="B43" s="570" t="s">
        <v>966</v>
      </c>
      <c r="C43" s="570" t="s">
        <v>988</v>
      </c>
      <c r="D43" s="570"/>
      <c r="E43" s="570"/>
      <c r="F43" s="570"/>
      <c r="G43" s="570">
        <f t="shared" si="9"/>
        <v>0</v>
      </c>
      <c r="H43" s="587"/>
      <c r="I43" s="570"/>
      <c r="J43" s="570"/>
      <c r="K43" s="570"/>
      <c r="L43" s="570">
        <f t="shared" si="8"/>
        <v>0</v>
      </c>
    </row>
    <row r="44" spans="1:12" ht="16.5" x14ac:dyDescent="0.25">
      <c r="A44" s="594">
        <v>44855</v>
      </c>
      <c r="B44" s="570" t="s">
        <v>966</v>
      </c>
      <c r="C44" s="570" t="s">
        <v>988</v>
      </c>
      <c r="D44" s="570"/>
      <c r="E44" s="570"/>
      <c r="F44" s="570"/>
      <c r="G44" s="570">
        <f t="shared" si="9"/>
        <v>0</v>
      </c>
      <c r="H44" s="587"/>
      <c r="I44" s="570"/>
      <c r="J44" s="570"/>
      <c r="K44" s="570"/>
      <c r="L44" s="570">
        <f t="shared" si="8"/>
        <v>0</v>
      </c>
    </row>
    <row r="45" spans="1:12" ht="16.5" x14ac:dyDescent="0.25">
      <c r="A45" s="594">
        <v>44856</v>
      </c>
      <c r="B45" s="570" t="s">
        <v>966</v>
      </c>
      <c r="C45" s="570" t="s">
        <v>988</v>
      </c>
      <c r="D45" s="570"/>
      <c r="E45" s="570"/>
      <c r="F45" s="570"/>
      <c r="G45" s="570">
        <f t="shared" si="9"/>
        <v>0</v>
      </c>
      <c r="H45" s="587"/>
      <c r="I45" s="570"/>
      <c r="J45" s="570"/>
      <c r="K45" s="570"/>
      <c r="L45" s="570">
        <f t="shared" si="8"/>
        <v>0</v>
      </c>
    </row>
    <row r="46" spans="1:12" ht="16.5" x14ac:dyDescent="0.25">
      <c r="A46" s="594">
        <v>44857</v>
      </c>
      <c r="B46" s="570" t="s">
        <v>966</v>
      </c>
      <c r="C46" s="570" t="s">
        <v>988</v>
      </c>
      <c r="D46" s="570"/>
      <c r="E46" s="570"/>
      <c r="F46" s="570"/>
      <c r="G46" s="570">
        <f t="shared" si="9"/>
        <v>0</v>
      </c>
      <c r="H46" s="587"/>
      <c r="I46" s="570"/>
      <c r="J46" s="570"/>
      <c r="K46" s="570"/>
      <c r="L46" s="570">
        <f t="shared" si="8"/>
        <v>0</v>
      </c>
    </row>
    <row r="47" spans="1:12" ht="16.5" x14ac:dyDescent="0.25">
      <c r="A47" s="594">
        <v>44858</v>
      </c>
      <c r="B47" s="570" t="s">
        <v>966</v>
      </c>
      <c r="C47" s="570" t="s">
        <v>988</v>
      </c>
      <c r="D47" s="570"/>
      <c r="E47" s="570"/>
      <c r="F47" s="570"/>
      <c r="G47" s="570">
        <f t="shared" si="9"/>
        <v>0</v>
      </c>
      <c r="H47" s="587"/>
      <c r="I47" s="570"/>
      <c r="J47" s="570"/>
      <c r="K47" s="570"/>
      <c r="L47" s="570">
        <f t="shared" si="8"/>
        <v>0</v>
      </c>
    </row>
    <row r="48" spans="1:12" ht="16.5" x14ac:dyDescent="0.25">
      <c r="A48" s="594">
        <v>44859</v>
      </c>
      <c r="B48" s="570" t="s">
        <v>966</v>
      </c>
      <c r="C48" s="570" t="s">
        <v>988</v>
      </c>
      <c r="D48" s="570"/>
      <c r="E48" s="570"/>
      <c r="F48" s="570"/>
      <c r="G48" s="570">
        <f t="shared" si="9"/>
        <v>0</v>
      </c>
      <c r="H48" s="587"/>
      <c r="I48" s="570"/>
      <c r="J48" s="570"/>
      <c r="K48" s="570"/>
      <c r="L48" s="570">
        <f t="shared" si="8"/>
        <v>0</v>
      </c>
    </row>
    <row r="49" spans="1:12" ht="19.5" x14ac:dyDescent="0.3">
      <c r="A49" s="731" t="s">
        <v>1121</v>
      </c>
      <c r="B49" s="732"/>
      <c r="C49" s="733"/>
      <c r="D49" s="590">
        <f>SUM(D18:D48)</f>
        <v>0</v>
      </c>
      <c r="E49" s="590">
        <f t="shared" ref="E49:G49" si="10">SUM(E18:E48)</f>
        <v>0</v>
      </c>
      <c r="F49" s="590">
        <f t="shared" si="10"/>
        <v>0</v>
      </c>
      <c r="G49" s="590">
        <f t="shared" si="10"/>
        <v>0</v>
      </c>
      <c r="H49" s="587"/>
      <c r="I49" s="590">
        <f t="shared" ref="I49" si="11">SUM(I18:I48)</f>
        <v>0</v>
      </c>
      <c r="J49" s="590">
        <f t="shared" ref="J49" si="12">SUM(J18:J48)</f>
        <v>0</v>
      </c>
      <c r="K49" s="590">
        <f t="shared" ref="K49" si="13">SUM(K18:K48)</f>
        <v>0</v>
      </c>
      <c r="L49" s="590">
        <f t="shared" ref="L49" si="14">SUM(L18:L48)</f>
        <v>0</v>
      </c>
    </row>
  </sheetData>
  <mergeCells count="11">
    <mergeCell ref="A1:L1"/>
    <mergeCell ref="A2:G2"/>
    <mergeCell ref="I2:L2"/>
    <mergeCell ref="A8:A9"/>
    <mergeCell ref="A49:C49"/>
    <mergeCell ref="A16:C16"/>
    <mergeCell ref="A12:C12"/>
    <mergeCell ref="A14:L14"/>
    <mergeCell ref="A15:G15"/>
    <mergeCell ref="I15:L15"/>
    <mergeCell ref="A4:A5"/>
  </mergeCells>
  <pageMargins left="0.25" right="0.25" top="0.75" bottom="0.75" header="0.3" footer="0.3"/>
  <pageSetup scale="46" fitToHeight="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6"/>
  <sheetViews>
    <sheetView topLeftCell="A4" workbookViewId="0">
      <selection activeCell="K18" sqref="K18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999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618"/>
      <c r="B3" s="618"/>
      <c r="C3" s="618"/>
      <c r="D3" s="618"/>
      <c r="E3" s="618"/>
      <c r="F3" s="618"/>
      <c r="G3" s="618" t="s">
        <v>48</v>
      </c>
      <c r="H3" s="73" t="s">
        <v>998</v>
      </c>
      <c r="I3" s="618"/>
      <c r="J3" s="618"/>
      <c r="K3" s="618"/>
      <c r="L3" s="618"/>
      <c r="M3" s="618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617" t="s">
        <v>7</v>
      </c>
      <c r="H4" s="617" t="s">
        <v>8</v>
      </c>
      <c r="I4" s="617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417" t="s">
        <v>32</v>
      </c>
      <c r="B6" s="416" t="s">
        <v>997</v>
      </c>
      <c r="C6" s="415"/>
      <c r="D6" s="140" t="s">
        <v>11</v>
      </c>
      <c r="E6" s="140" t="s">
        <v>10</v>
      </c>
      <c r="F6" s="32">
        <v>25490</v>
      </c>
      <c r="G6" s="32"/>
      <c r="H6" s="32">
        <v>25340</v>
      </c>
      <c r="I6" s="414">
        <f>F6-H6</f>
        <v>150</v>
      </c>
      <c r="J6" s="413">
        <v>1</v>
      </c>
      <c r="K6" s="413">
        <v>309</v>
      </c>
      <c r="L6" s="413"/>
      <c r="M6" s="624" t="s">
        <v>996</v>
      </c>
      <c r="N6" s="71"/>
    </row>
    <row r="7" spans="1:14" s="12" customFormat="1" ht="15.75" x14ac:dyDescent="0.25">
      <c r="A7" s="417" t="s">
        <v>19</v>
      </c>
      <c r="B7" s="416"/>
      <c r="C7" s="415"/>
      <c r="D7" s="140" t="s">
        <v>11</v>
      </c>
      <c r="E7" s="140" t="s">
        <v>10</v>
      </c>
      <c r="F7" s="32"/>
      <c r="G7" s="32"/>
      <c r="H7" s="32"/>
      <c r="I7" s="414">
        <f>F7-H7</f>
        <v>0</v>
      </c>
      <c r="J7" s="413"/>
      <c r="K7" s="413"/>
      <c r="L7" s="413"/>
      <c r="M7" s="412"/>
      <c r="N7" s="71"/>
    </row>
    <row r="8" spans="1:14" s="4" customFormat="1" ht="20.25" x14ac:dyDescent="0.3">
      <c r="A8" s="816" t="s">
        <v>1000</v>
      </c>
      <c r="B8" s="817"/>
      <c r="C8" s="817"/>
      <c r="D8" s="817"/>
      <c r="E8" s="818"/>
      <c r="F8" s="260"/>
      <c r="G8" s="260"/>
      <c r="H8" s="366">
        <f>SUM(H6:H7)</f>
        <v>25340</v>
      </c>
      <c r="I8" s="260">
        <f>F6-H8</f>
        <v>150</v>
      </c>
      <c r="J8" s="260">
        <f>SUM(J6:J7)</f>
        <v>1</v>
      </c>
      <c r="K8" s="260">
        <f>SUM(K6:K7)</f>
        <v>309</v>
      </c>
      <c r="L8" s="261"/>
      <c r="M8" s="262">
        <f>+H8-K8</f>
        <v>25031</v>
      </c>
    </row>
    <row r="9" spans="1:14" s="12" customFormat="1" ht="19.5" x14ac:dyDescent="0.3">
      <c r="A9" s="54" t="s">
        <v>32</v>
      </c>
      <c r="B9" s="55" t="s">
        <v>1050</v>
      </c>
      <c r="C9" s="56"/>
      <c r="D9" s="57" t="s">
        <v>11</v>
      </c>
      <c r="E9" s="57" t="s">
        <v>10</v>
      </c>
      <c r="F9" s="33">
        <v>25290</v>
      </c>
      <c r="G9" s="33"/>
      <c r="H9" s="33">
        <v>24900</v>
      </c>
      <c r="I9" s="58">
        <f>F9-H9</f>
        <v>390</v>
      </c>
      <c r="J9" s="60">
        <v>1</v>
      </c>
      <c r="K9" s="60">
        <v>311</v>
      </c>
      <c r="L9" s="60"/>
      <c r="M9" s="338" t="s">
        <v>1051</v>
      </c>
      <c r="N9" s="71"/>
    </row>
    <row r="10" spans="1:14" s="12" customFormat="1" ht="15.75" x14ac:dyDescent="0.25">
      <c r="A10" s="54" t="s">
        <v>33</v>
      </c>
      <c r="B10" s="55"/>
      <c r="C10" s="56"/>
      <c r="D10" s="57" t="s">
        <v>11</v>
      </c>
      <c r="E10" s="57" t="s">
        <v>10</v>
      </c>
      <c r="F10" s="33"/>
      <c r="G10" s="33"/>
      <c r="H10" s="33"/>
      <c r="I10" s="58">
        <f t="shared" ref="I10:I12" si="0">F10-H10</f>
        <v>0</v>
      </c>
      <c r="J10" s="60"/>
      <c r="K10" s="60"/>
      <c r="L10" s="60"/>
      <c r="M10" s="69"/>
      <c r="N10" s="71"/>
    </row>
    <row r="11" spans="1:14" s="12" customFormat="1" ht="15.75" x14ac:dyDescent="0.25">
      <c r="A11" s="54" t="s">
        <v>34</v>
      </c>
      <c r="B11" s="55"/>
      <c r="C11" s="56"/>
      <c r="D11" s="57" t="s">
        <v>11</v>
      </c>
      <c r="E11" s="57" t="s">
        <v>10</v>
      </c>
      <c r="F11" s="33"/>
      <c r="G11" s="33"/>
      <c r="H11" s="33"/>
      <c r="I11" s="58">
        <f t="shared" si="0"/>
        <v>0</v>
      </c>
      <c r="J11" s="60"/>
      <c r="K11" s="60"/>
      <c r="L11" s="60"/>
      <c r="M11" s="69"/>
      <c r="N11" s="71"/>
    </row>
    <row r="12" spans="1:14" s="12" customFormat="1" ht="15.75" x14ac:dyDescent="0.25">
      <c r="A12" s="54" t="s">
        <v>35</v>
      </c>
      <c r="B12" s="55"/>
      <c r="C12" s="56"/>
      <c r="D12" s="57" t="s">
        <v>11</v>
      </c>
      <c r="E12" s="57" t="s">
        <v>10</v>
      </c>
      <c r="F12" s="33"/>
      <c r="G12" s="33"/>
      <c r="H12" s="33"/>
      <c r="I12" s="58">
        <f t="shared" si="0"/>
        <v>0</v>
      </c>
      <c r="J12" s="60"/>
      <c r="K12" s="60"/>
      <c r="L12" s="60"/>
      <c r="M12" s="69"/>
      <c r="N12" s="71"/>
    </row>
    <row r="13" spans="1:14" s="12" customFormat="1" ht="22.5" x14ac:dyDescent="0.3">
      <c r="A13" s="816" t="s">
        <v>1052</v>
      </c>
      <c r="B13" s="817"/>
      <c r="C13" s="817"/>
      <c r="D13" s="817"/>
      <c r="E13" s="818"/>
      <c r="F13" s="672"/>
      <c r="G13" s="672"/>
      <c r="H13" s="673">
        <f>SUM(H9:H12)</f>
        <v>24900</v>
      </c>
      <c r="I13" s="260">
        <f>F9-H13</f>
        <v>390</v>
      </c>
      <c r="J13" s="674">
        <f>SUM(J9:J12)</f>
        <v>1</v>
      </c>
      <c r="K13" s="674">
        <f>SUM(K9:K12)</f>
        <v>311</v>
      </c>
      <c r="L13" s="675"/>
      <c r="M13" s="676"/>
      <c r="N13" s="71"/>
    </row>
    <row r="14" spans="1:14" s="4" customFormat="1" ht="20.25" x14ac:dyDescent="0.3">
      <c r="A14" s="823" t="s">
        <v>209</v>
      </c>
      <c r="B14" s="824"/>
      <c r="C14" s="824"/>
      <c r="D14" s="824"/>
      <c r="E14" s="825"/>
      <c r="F14" s="677"/>
      <c r="G14" s="677"/>
      <c r="H14" s="680">
        <f>H8+H13</f>
        <v>50240</v>
      </c>
      <c r="I14" s="677">
        <f>'ĐIỀU KHO 1.2'!M43</f>
        <v>960</v>
      </c>
      <c r="J14" s="677">
        <f>J8+J13</f>
        <v>2</v>
      </c>
      <c r="K14" s="677">
        <f>K8+K13</f>
        <v>620</v>
      </c>
      <c r="L14" s="678"/>
      <c r="M14" s="679"/>
    </row>
    <row r="15" spans="1:14" s="19" customFormat="1" x14ac:dyDescent="0.25">
      <c r="A15" s="29"/>
      <c r="B15" s="29"/>
      <c r="C15" s="18"/>
      <c r="D15"/>
      <c r="E15"/>
      <c r="G15"/>
      <c r="I15"/>
      <c r="J15"/>
      <c r="K15"/>
      <c r="L15"/>
      <c r="M15"/>
    </row>
    <row r="16" spans="1:14" s="19" customFormat="1" x14ac:dyDescent="0.25">
      <c r="A16" s="29"/>
      <c r="B16" s="29"/>
      <c r="C16" s="18"/>
      <c r="D16"/>
      <c r="E16"/>
      <c r="G16"/>
      <c r="H16"/>
      <c r="I16"/>
      <c r="J16"/>
      <c r="K16"/>
      <c r="L16"/>
      <c r="M16"/>
    </row>
  </sheetData>
  <mergeCells count="7">
    <mergeCell ref="A14:E14"/>
    <mergeCell ref="A1:M1"/>
    <mergeCell ref="A2:M2"/>
    <mergeCell ref="J4:J5"/>
    <mergeCell ref="K4:L4"/>
    <mergeCell ref="A8:E8"/>
    <mergeCell ref="A13:E13"/>
  </mergeCells>
  <hyperlinks>
    <hyperlink ref="H3" location="'ĐIỀU KHO 1.2'!A49" display="BILL 4629"/>
  </hyperlinks>
  <pageMargins left="0.7" right="0.7" top="0.75" bottom="0.75" header="0.3" footer="0.3"/>
  <pageSetup orientation="portrait" horizontalDpi="180" verticalDpi="18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4"/>
  <sheetViews>
    <sheetView workbookViewId="0">
      <selection activeCell="L12" sqref="L12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921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493"/>
      <c r="B3" s="493"/>
      <c r="C3" s="493"/>
      <c r="D3" s="493"/>
      <c r="E3" s="493"/>
      <c r="F3" s="493"/>
      <c r="G3" s="493" t="s">
        <v>48</v>
      </c>
      <c r="H3" s="636" t="s">
        <v>920</v>
      </c>
      <c r="I3" s="493"/>
      <c r="J3" s="493"/>
      <c r="K3" s="493"/>
      <c r="L3" s="493"/>
      <c r="M3" s="493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492" t="s">
        <v>7</v>
      </c>
      <c r="H4" s="492" t="s">
        <v>8</v>
      </c>
      <c r="I4" s="492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12" customFormat="1" ht="19.5" x14ac:dyDescent="0.3">
      <c r="A6" s="417" t="s">
        <v>32</v>
      </c>
      <c r="B6" s="416" t="s">
        <v>919</v>
      </c>
      <c r="C6" s="415"/>
      <c r="D6" s="140" t="s">
        <v>11</v>
      </c>
      <c r="E6" s="140" t="s">
        <v>10</v>
      </c>
      <c r="F6" s="32">
        <v>58170</v>
      </c>
      <c r="G6" s="32"/>
      <c r="H6" s="32">
        <v>54340</v>
      </c>
      <c r="I6" s="414">
        <f>F6-H6</f>
        <v>3830</v>
      </c>
      <c r="J6" s="413">
        <v>2</v>
      </c>
      <c r="K6" s="413">
        <f>406+254</f>
        <v>660</v>
      </c>
      <c r="L6" s="413"/>
      <c r="M6" s="624" t="s">
        <v>922</v>
      </c>
      <c r="N6" s="71"/>
    </row>
    <row r="7" spans="1:14" s="12" customFormat="1" ht="19.5" x14ac:dyDescent="0.3">
      <c r="A7" s="417" t="s">
        <v>33</v>
      </c>
      <c r="B7" s="416"/>
      <c r="C7" s="415"/>
      <c r="D7" s="140" t="s">
        <v>11</v>
      </c>
      <c r="E7" s="140" t="s">
        <v>10</v>
      </c>
      <c r="F7" s="32"/>
      <c r="G7" s="32"/>
      <c r="H7" s="32"/>
      <c r="I7" s="414">
        <f t="shared" ref="I7" si="0">F7-H7</f>
        <v>0</v>
      </c>
      <c r="J7" s="413"/>
      <c r="K7" s="413"/>
      <c r="L7" s="413"/>
      <c r="M7" s="637"/>
      <c r="N7" s="71"/>
    </row>
    <row r="8" spans="1:14" s="4" customFormat="1" ht="20.25" x14ac:dyDescent="0.3">
      <c r="A8" s="826" t="s">
        <v>1009</v>
      </c>
      <c r="B8" s="827"/>
      <c r="C8" s="827"/>
      <c r="D8" s="827"/>
      <c r="E8" s="828"/>
      <c r="F8" s="260"/>
      <c r="G8" s="260"/>
      <c r="H8" s="366">
        <f>SUM(H6:H7)</f>
        <v>54340</v>
      </c>
      <c r="I8" s="260">
        <f>F6-H8</f>
        <v>3830</v>
      </c>
      <c r="J8" s="260">
        <f>SUM(J6:J7)</f>
        <v>2</v>
      </c>
      <c r="K8" s="260">
        <f>SUM(K6:K7)</f>
        <v>660</v>
      </c>
      <c r="L8" s="261"/>
      <c r="M8" s="262">
        <f>+H8-K8</f>
        <v>53680</v>
      </c>
    </row>
    <row r="9" spans="1:14" s="4" customFormat="1" ht="20.25" x14ac:dyDescent="0.3">
      <c r="A9" s="417" t="s">
        <v>32</v>
      </c>
      <c r="B9" s="416" t="s">
        <v>1050</v>
      </c>
      <c r="C9" s="415"/>
      <c r="D9" s="140" t="s">
        <v>11</v>
      </c>
      <c r="E9" s="140" t="s">
        <v>10</v>
      </c>
      <c r="F9" s="32">
        <v>27750</v>
      </c>
      <c r="G9" s="32"/>
      <c r="H9" s="32">
        <v>11490</v>
      </c>
      <c r="I9" s="414">
        <f>F9-H9</f>
        <v>16260</v>
      </c>
      <c r="J9" s="413">
        <v>1</v>
      </c>
      <c r="K9" s="413">
        <v>143</v>
      </c>
      <c r="L9" s="413"/>
      <c r="M9" s="671" t="s">
        <v>1056</v>
      </c>
    </row>
    <row r="10" spans="1:14" ht="19.5" x14ac:dyDescent="0.3">
      <c r="A10" s="417" t="s">
        <v>33</v>
      </c>
      <c r="B10" s="416" t="s">
        <v>1050</v>
      </c>
      <c r="C10" s="415"/>
      <c r="D10" s="140" t="s">
        <v>11</v>
      </c>
      <c r="E10" s="140" t="s">
        <v>10</v>
      </c>
      <c r="F10" s="32">
        <f>I9</f>
        <v>16260</v>
      </c>
      <c r="G10" s="32"/>
      <c r="H10" s="32">
        <v>16260</v>
      </c>
      <c r="I10" s="414">
        <f t="shared" ref="I10:I11" si="1">F10-H10</f>
        <v>0</v>
      </c>
      <c r="J10" s="413">
        <v>1</v>
      </c>
      <c r="K10" s="413">
        <v>203</v>
      </c>
      <c r="L10" s="413"/>
      <c r="M10" s="624"/>
    </row>
    <row r="11" spans="1:14" ht="15.75" x14ac:dyDescent="0.25">
      <c r="A11" s="417" t="s">
        <v>34</v>
      </c>
      <c r="B11" s="416"/>
      <c r="C11" s="415"/>
      <c r="D11" s="140" t="s">
        <v>11</v>
      </c>
      <c r="E11" s="140" t="s">
        <v>10</v>
      </c>
      <c r="F11" s="32"/>
      <c r="G11" s="32"/>
      <c r="H11" s="32"/>
      <c r="I11" s="414">
        <f t="shared" si="1"/>
        <v>0</v>
      </c>
      <c r="J11" s="413"/>
      <c r="K11" s="413"/>
      <c r="L11" s="413"/>
      <c r="M11" s="412"/>
    </row>
    <row r="12" spans="1:14" s="19" customFormat="1" ht="20.25" x14ac:dyDescent="0.3">
      <c r="A12" s="816" t="s">
        <v>1053</v>
      </c>
      <c r="B12" s="817"/>
      <c r="C12" s="817"/>
      <c r="D12" s="817"/>
      <c r="E12" s="818"/>
      <c r="F12" s="260"/>
      <c r="G12" s="260"/>
      <c r="H12" s="366">
        <f>SUM(H9:H11)</f>
        <v>27750</v>
      </c>
      <c r="I12" s="260">
        <f>F9-H12</f>
        <v>0</v>
      </c>
      <c r="J12" s="260">
        <f>SUM(J9:J11)</f>
        <v>2</v>
      </c>
      <c r="K12" s="260">
        <f>SUM(K9:K11)</f>
        <v>346</v>
      </c>
      <c r="L12" s="261"/>
      <c r="M12" s="262">
        <f>H12-K12</f>
        <v>27404</v>
      </c>
    </row>
    <row r="13" spans="1:14" s="19" customFormat="1" ht="20.25" x14ac:dyDescent="0.3">
      <c r="A13" s="820" t="s">
        <v>974</v>
      </c>
      <c r="B13" s="821"/>
      <c r="C13" s="821"/>
      <c r="D13" s="821"/>
      <c r="E13" s="822"/>
      <c r="F13" s="66"/>
      <c r="G13" s="66"/>
      <c r="H13" s="681">
        <f>H8+H12</f>
        <v>82090</v>
      </c>
      <c r="I13" s="66">
        <f>82580-H13</f>
        <v>490</v>
      </c>
      <c r="J13" s="66">
        <f>J8+J12</f>
        <v>4</v>
      </c>
      <c r="K13" s="66">
        <f>K8+K12</f>
        <v>1006</v>
      </c>
      <c r="L13" s="267"/>
      <c r="M13" s="268">
        <f>H13-K13</f>
        <v>81084</v>
      </c>
    </row>
    <row r="14" spans="1:14" s="19" customFormat="1" x14ac:dyDescent="0.25">
      <c r="A14" s="29"/>
      <c r="B14" s="29"/>
      <c r="C14" s="18"/>
      <c r="D14"/>
      <c r="E14"/>
      <c r="G14"/>
      <c r="H14"/>
      <c r="I14"/>
      <c r="J14"/>
      <c r="K14"/>
      <c r="L14"/>
      <c r="M14"/>
    </row>
  </sheetData>
  <mergeCells count="7">
    <mergeCell ref="A12:E12"/>
    <mergeCell ref="A13:E13"/>
    <mergeCell ref="A8:E8"/>
    <mergeCell ref="A1:M1"/>
    <mergeCell ref="A2:M2"/>
    <mergeCell ref="J4:J5"/>
    <mergeCell ref="K4:L4"/>
  </mergeCells>
  <hyperlinks>
    <hyperlink ref="H3" location="'ĐIỀU KHO 1.2'!A30" display="BILL 0470"/>
  </hyperlinks>
  <pageMargins left="0.7" right="0.7" top="0.75" bottom="0.75" header="0.3" footer="0.3"/>
  <pageSetup orientation="portrait" horizontalDpi="180" verticalDpi="18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6"/>
  <sheetViews>
    <sheetView workbookViewId="0">
      <selection activeCell="H3" sqref="H3:I3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1034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629"/>
      <c r="B3" s="629"/>
      <c r="C3" s="629"/>
      <c r="D3" s="629"/>
      <c r="E3" s="629"/>
      <c r="F3" s="629"/>
      <c r="G3" s="629" t="s">
        <v>48</v>
      </c>
      <c r="H3" s="832" t="s">
        <v>1006</v>
      </c>
      <c r="I3" s="832"/>
      <c r="J3" s="629"/>
      <c r="K3" s="629"/>
      <c r="L3" s="629"/>
      <c r="M3" s="629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628" t="s">
        <v>7</v>
      </c>
      <c r="H4" s="628" t="s">
        <v>8</v>
      </c>
      <c r="I4" s="628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54" t="s">
        <v>32</v>
      </c>
      <c r="B6" s="55" t="s">
        <v>1005</v>
      </c>
      <c r="C6" s="56"/>
      <c r="D6" s="57" t="s">
        <v>11</v>
      </c>
      <c r="E6" s="57" t="s">
        <v>10</v>
      </c>
      <c r="F6" s="175">
        <v>394480</v>
      </c>
      <c r="G6" s="33"/>
      <c r="H6" s="14">
        <v>67460</v>
      </c>
      <c r="I6" s="58">
        <f t="shared" ref="I6:I13" si="0">F6-H6</f>
        <v>327020</v>
      </c>
      <c r="J6" s="60">
        <v>2</v>
      </c>
      <c r="K6" s="60">
        <f>399+413</f>
        <v>812</v>
      </c>
      <c r="L6" s="22"/>
      <c r="M6" s="460" t="s">
        <v>1007</v>
      </c>
      <c r="N6" s="71"/>
    </row>
    <row r="7" spans="1:14" s="12" customFormat="1" ht="15.75" x14ac:dyDescent="0.25">
      <c r="A7" s="28" t="s">
        <v>33</v>
      </c>
      <c r="B7" s="55" t="s">
        <v>1008</v>
      </c>
      <c r="C7" s="17"/>
      <c r="D7" s="57" t="s">
        <v>11</v>
      </c>
      <c r="E7" s="57" t="s">
        <v>10</v>
      </c>
      <c r="F7" s="175">
        <f t="shared" ref="F7:F12" si="1">I6</f>
        <v>327020</v>
      </c>
      <c r="G7" s="14"/>
      <c r="H7" s="14">
        <v>68620</v>
      </c>
      <c r="I7" s="58">
        <f t="shared" si="0"/>
        <v>258400</v>
      </c>
      <c r="J7" s="22">
        <v>2</v>
      </c>
      <c r="K7" s="22">
        <f>410+415</f>
        <v>825</v>
      </c>
      <c r="L7" s="22"/>
      <c r="M7" s="69"/>
      <c r="N7" s="71"/>
    </row>
    <row r="8" spans="1:14" s="12" customFormat="1" ht="15.75" x14ac:dyDescent="0.25">
      <c r="A8" s="28" t="s">
        <v>34</v>
      </c>
      <c r="B8" s="55" t="s">
        <v>1011</v>
      </c>
      <c r="C8" s="17"/>
      <c r="D8" s="57" t="s">
        <v>11</v>
      </c>
      <c r="E8" s="57" t="s">
        <v>10</v>
      </c>
      <c r="F8" s="175">
        <f t="shared" si="1"/>
        <v>258400</v>
      </c>
      <c r="G8" s="14"/>
      <c r="H8" s="14">
        <v>68450</v>
      </c>
      <c r="I8" s="58">
        <f t="shared" si="0"/>
        <v>189950</v>
      </c>
      <c r="J8" s="22">
        <v>2</v>
      </c>
      <c r="K8" s="22">
        <f>410+413</f>
        <v>823</v>
      </c>
      <c r="L8" s="22"/>
      <c r="M8" s="69"/>
      <c r="N8" s="71"/>
    </row>
    <row r="9" spans="1:14" s="12" customFormat="1" ht="15.75" x14ac:dyDescent="0.25">
      <c r="A9" s="28" t="s">
        <v>35</v>
      </c>
      <c r="B9" s="181" t="s">
        <v>1012</v>
      </c>
      <c r="C9" s="17"/>
      <c r="D9" s="57" t="s">
        <v>11</v>
      </c>
      <c r="E9" s="57" t="s">
        <v>10</v>
      </c>
      <c r="F9" s="175">
        <f t="shared" si="1"/>
        <v>189950</v>
      </c>
      <c r="G9" s="14"/>
      <c r="H9" s="14">
        <v>68620</v>
      </c>
      <c r="I9" s="58">
        <f t="shared" si="0"/>
        <v>121330</v>
      </c>
      <c r="J9" s="22">
        <v>2</v>
      </c>
      <c r="K9" s="22">
        <f>410+416</f>
        <v>826</v>
      </c>
      <c r="L9" s="22"/>
      <c r="M9" s="69"/>
      <c r="N9" s="71"/>
    </row>
    <row r="10" spans="1:14" s="12" customFormat="1" ht="15.75" x14ac:dyDescent="0.25">
      <c r="A10" s="28" t="s">
        <v>36</v>
      </c>
      <c r="B10" s="181" t="s">
        <v>1026</v>
      </c>
      <c r="C10" s="17"/>
      <c r="D10" s="57" t="s">
        <v>11</v>
      </c>
      <c r="E10" s="57" t="s">
        <v>10</v>
      </c>
      <c r="F10" s="175">
        <f t="shared" si="1"/>
        <v>121330</v>
      </c>
      <c r="G10" s="14"/>
      <c r="H10" s="14">
        <v>68870</v>
      </c>
      <c r="I10" s="58">
        <f t="shared" si="0"/>
        <v>52460</v>
      </c>
      <c r="J10" s="22">
        <v>2</v>
      </c>
      <c r="K10" s="22">
        <f>412+417</f>
        <v>829</v>
      </c>
      <c r="L10" s="22"/>
      <c r="M10" s="69"/>
      <c r="N10" s="71"/>
    </row>
    <row r="11" spans="1:14" s="12" customFormat="1" ht="15.75" x14ac:dyDescent="0.25">
      <c r="A11" s="28" t="s">
        <v>17</v>
      </c>
      <c r="B11" s="181" t="s">
        <v>1027</v>
      </c>
      <c r="C11" s="17"/>
      <c r="D11" s="57" t="s">
        <v>11</v>
      </c>
      <c r="E11" s="57" t="s">
        <v>10</v>
      </c>
      <c r="F11" s="175">
        <f t="shared" si="1"/>
        <v>52460</v>
      </c>
      <c r="G11" s="14"/>
      <c r="H11" s="14">
        <v>15880</v>
      </c>
      <c r="I11" s="58">
        <f t="shared" si="0"/>
        <v>36580</v>
      </c>
      <c r="J11" s="22">
        <v>1</v>
      </c>
      <c r="K11" s="22">
        <v>191</v>
      </c>
      <c r="L11" s="22"/>
      <c r="M11" s="69"/>
      <c r="N11" s="71"/>
    </row>
    <row r="12" spans="1:14" s="12" customFormat="1" ht="15.75" x14ac:dyDescent="0.25">
      <c r="A12" s="28" t="s">
        <v>18</v>
      </c>
      <c r="B12" s="181" t="s">
        <v>1027</v>
      </c>
      <c r="C12" s="17"/>
      <c r="D12" s="57" t="s">
        <v>11</v>
      </c>
      <c r="E12" s="57" t="s">
        <v>10</v>
      </c>
      <c r="F12" s="175">
        <f t="shared" si="1"/>
        <v>36580</v>
      </c>
      <c r="G12" s="14"/>
      <c r="H12" s="14">
        <v>34020</v>
      </c>
      <c r="I12" s="58">
        <f t="shared" si="0"/>
        <v>2560</v>
      </c>
      <c r="J12" s="22">
        <v>1</v>
      </c>
      <c r="K12" s="22">
        <v>410</v>
      </c>
      <c r="L12" s="22"/>
      <c r="M12" s="69"/>
      <c r="N12" s="71"/>
    </row>
    <row r="13" spans="1:14" s="12" customFormat="1" ht="15.75" x14ac:dyDescent="0.25">
      <c r="A13" s="28" t="s">
        <v>19</v>
      </c>
      <c r="B13" s="181"/>
      <c r="C13" s="17"/>
      <c r="D13" s="57" t="s">
        <v>11</v>
      </c>
      <c r="E13" s="57" t="s">
        <v>10</v>
      </c>
      <c r="F13" s="175"/>
      <c r="G13" s="14"/>
      <c r="H13" s="14"/>
      <c r="I13" s="58">
        <f t="shared" si="0"/>
        <v>0</v>
      </c>
      <c r="J13" s="22"/>
      <c r="K13" s="22"/>
      <c r="L13" s="22"/>
      <c r="M13" s="69"/>
      <c r="N13" s="71"/>
    </row>
    <row r="14" spans="1:14" s="4" customFormat="1" ht="20.25" x14ac:dyDescent="0.3">
      <c r="A14" s="816" t="s">
        <v>1038</v>
      </c>
      <c r="B14" s="817"/>
      <c r="C14" s="817"/>
      <c r="D14" s="817"/>
      <c r="E14" s="818"/>
      <c r="F14" s="260"/>
      <c r="G14" s="260"/>
      <c r="H14" s="366">
        <f>SUM(H6:H13)</f>
        <v>391920</v>
      </c>
      <c r="I14" s="664">
        <f>F6-H14</f>
        <v>2560</v>
      </c>
      <c r="J14" s="664">
        <f>SUM(J6:J13)</f>
        <v>12</v>
      </c>
      <c r="K14" s="664">
        <f>SUM(K6:K13)</f>
        <v>4716</v>
      </c>
      <c r="L14" s="665"/>
      <c r="M14" s="262">
        <f>+H14-K14</f>
        <v>387204</v>
      </c>
    </row>
    <row r="15" spans="1:14" s="12" customFormat="1" ht="19.5" x14ac:dyDescent="0.3">
      <c r="A15" s="660" t="s">
        <v>32</v>
      </c>
      <c r="B15" s="661" t="s">
        <v>1031</v>
      </c>
      <c r="C15" s="662"/>
      <c r="D15" s="57" t="s">
        <v>11</v>
      </c>
      <c r="E15" s="57" t="s">
        <v>10</v>
      </c>
      <c r="F15" s="663">
        <v>111570</v>
      </c>
      <c r="G15" s="167"/>
      <c r="H15" s="167">
        <v>66290</v>
      </c>
      <c r="I15" s="33">
        <f>F15-H15</f>
        <v>45280</v>
      </c>
      <c r="J15" s="14">
        <v>2</v>
      </c>
      <c r="K15" s="14">
        <f>410+408</f>
        <v>818</v>
      </c>
      <c r="L15" s="14"/>
      <c r="M15" s="460" t="s">
        <v>1033</v>
      </c>
      <c r="N15" s="71"/>
    </row>
    <row r="16" spans="1:14" s="12" customFormat="1" ht="15.75" x14ac:dyDescent="0.25">
      <c r="A16" s="660" t="s">
        <v>33</v>
      </c>
      <c r="B16" s="661" t="s">
        <v>1037</v>
      </c>
      <c r="C16" s="662"/>
      <c r="D16" s="57" t="s">
        <v>11</v>
      </c>
      <c r="E16" s="57" t="s">
        <v>10</v>
      </c>
      <c r="F16" s="663">
        <f>I15</f>
        <v>45280</v>
      </c>
      <c r="G16" s="167"/>
      <c r="H16" s="167">
        <v>4660</v>
      </c>
      <c r="I16" s="33">
        <f t="shared" ref="I16:I17" si="2">F16-H16</f>
        <v>40620</v>
      </c>
      <c r="J16" s="14">
        <v>1</v>
      </c>
      <c r="K16" s="14">
        <v>57</v>
      </c>
      <c r="L16" s="14"/>
      <c r="M16" s="197"/>
      <c r="N16" s="71"/>
    </row>
    <row r="17" spans="1:14" s="12" customFormat="1" ht="15.75" x14ac:dyDescent="0.25">
      <c r="A17" s="660" t="s">
        <v>34</v>
      </c>
      <c r="B17" s="661"/>
      <c r="C17" s="662"/>
      <c r="D17" s="57" t="s">
        <v>11</v>
      </c>
      <c r="E17" s="57" t="s">
        <v>10</v>
      </c>
      <c r="F17" s="663"/>
      <c r="G17" s="167"/>
      <c r="H17" s="167"/>
      <c r="I17" s="33">
        <f t="shared" si="2"/>
        <v>0</v>
      </c>
      <c r="J17" s="14"/>
      <c r="K17" s="14"/>
      <c r="L17" s="14"/>
      <c r="M17" s="197"/>
      <c r="N17" s="71"/>
    </row>
    <row r="18" spans="1:14" s="4" customFormat="1" ht="20.25" x14ac:dyDescent="0.3">
      <c r="A18" s="816" t="s">
        <v>1039</v>
      </c>
      <c r="B18" s="817"/>
      <c r="C18" s="817"/>
      <c r="D18" s="817"/>
      <c r="E18" s="818"/>
      <c r="F18" s="260"/>
      <c r="G18" s="260"/>
      <c r="H18" s="366">
        <f>SUM(H15:H17)</f>
        <v>70950</v>
      </c>
      <c r="I18" s="260">
        <f>F15-H18</f>
        <v>40620</v>
      </c>
      <c r="J18" s="260">
        <f>SUM(J15:J17)</f>
        <v>3</v>
      </c>
      <c r="K18" s="260">
        <f>SUM(K15:K17)</f>
        <v>875</v>
      </c>
      <c r="L18" s="261"/>
      <c r="M18" s="262">
        <f>+H18-K18</f>
        <v>70075</v>
      </c>
    </row>
    <row r="19" spans="1:14" s="4" customFormat="1" ht="20.25" x14ac:dyDescent="0.3">
      <c r="A19" s="829" t="s">
        <v>209</v>
      </c>
      <c r="B19" s="830"/>
      <c r="C19" s="830"/>
      <c r="D19" s="830"/>
      <c r="E19" s="831"/>
      <c r="F19" s="622"/>
      <c r="G19" s="622"/>
      <c r="H19" s="623">
        <f>SUM(H14+H18)</f>
        <v>462870</v>
      </c>
      <c r="I19" s="622">
        <f>505860-H19</f>
        <v>42990</v>
      </c>
      <c r="J19" s="622">
        <f>SUM(J14+J18)</f>
        <v>15</v>
      </c>
      <c r="K19" s="622">
        <f>SUM(K14+K18)</f>
        <v>5591</v>
      </c>
      <c r="L19" s="621"/>
      <c r="M19" s="620">
        <f>+H19-K19</f>
        <v>457279</v>
      </c>
    </row>
    <row r="20" spans="1:14" x14ac:dyDescent="0.25">
      <c r="F20" s="19"/>
    </row>
    <row r="21" spans="1:14" x14ac:dyDescent="0.25">
      <c r="F21" s="34"/>
      <c r="G21" s="19"/>
      <c r="H21" s="19"/>
      <c r="I21" s="19"/>
      <c r="J21" s="19"/>
      <c r="K21" s="19"/>
      <c r="L21" s="19"/>
    </row>
    <row r="22" spans="1:14" x14ac:dyDescent="0.25">
      <c r="F22" s="19"/>
      <c r="G22" s="19"/>
    </row>
    <row r="23" spans="1:14" s="19" customFormat="1" x14ac:dyDescent="0.25">
      <c r="A23" s="29"/>
      <c r="B23" s="29"/>
      <c r="C23" s="18"/>
      <c r="D23"/>
      <c r="E23"/>
      <c r="F23" s="34"/>
      <c r="G23"/>
      <c r="I23"/>
      <c r="J23"/>
      <c r="K23"/>
      <c r="L23"/>
      <c r="M23"/>
    </row>
    <row r="24" spans="1:14" s="19" customFormat="1" x14ac:dyDescent="0.25">
      <c r="A24" s="29"/>
      <c r="B24" s="29"/>
      <c r="C24" s="18"/>
      <c r="D24"/>
      <c r="E24"/>
      <c r="F24" s="35"/>
      <c r="G24"/>
      <c r="H24"/>
      <c r="I24"/>
      <c r="J24"/>
      <c r="K24"/>
      <c r="L24"/>
      <c r="M24"/>
    </row>
    <row r="25" spans="1:14" s="19" customFormat="1" x14ac:dyDescent="0.25">
      <c r="A25" s="29"/>
      <c r="B25" s="29"/>
      <c r="C25" s="18"/>
      <c r="D25"/>
      <c r="E25"/>
      <c r="G25"/>
      <c r="I25"/>
      <c r="J25"/>
      <c r="K25"/>
      <c r="L25"/>
      <c r="M25"/>
    </row>
    <row r="26" spans="1:14" s="19" customFormat="1" x14ac:dyDescent="0.25">
      <c r="A26" s="29"/>
      <c r="B26" s="29"/>
      <c r="C26" s="18"/>
      <c r="D26"/>
      <c r="E26"/>
      <c r="G26"/>
      <c r="H26"/>
      <c r="I26"/>
      <c r="J26"/>
      <c r="K26"/>
      <c r="L26"/>
      <c r="M26"/>
    </row>
  </sheetData>
  <mergeCells count="8">
    <mergeCell ref="A19:E19"/>
    <mergeCell ref="A1:M1"/>
    <mergeCell ref="A2:M2"/>
    <mergeCell ref="J4:J5"/>
    <mergeCell ref="K4:L4"/>
    <mergeCell ref="A18:E18"/>
    <mergeCell ref="H3:I3"/>
    <mergeCell ref="A14:E14"/>
  </mergeCells>
  <hyperlinks>
    <hyperlink ref="H3" location="'ĐIỀU KHO 1.2'!A1" display="BILL 7661"/>
    <hyperlink ref="H3:I3" location="'ĐIỀU KHO 1.2'!A34" display="BILL 7661"/>
  </hyperlinks>
  <pageMargins left="0.7" right="0.7" top="0.75" bottom="0.75" header="0.3" footer="0.3"/>
  <pageSetup orientation="portrait" horizontalDpi="180" verticalDpi="18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1"/>
  <sheetViews>
    <sheetView workbookViewId="0">
      <selection activeCell="K12" sqref="K12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6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6" s="52" customFormat="1" ht="22.5" x14ac:dyDescent="0.3">
      <c r="A2" s="813" t="s">
        <v>1035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6" s="52" customFormat="1" ht="22.5" x14ac:dyDescent="0.3">
      <c r="A3" s="659"/>
      <c r="B3" s="659"/>
      <c r="C3" s="659"/>
      <c r="D3" s="659"/>
      <c r="E3" s="659"/>
      <c r="F3" s="659"/>
      <c r="G3" s="659" t="s">
        <v>48</v>
      </c>
      <c r="H3" s="640" t="s">
        <v>1032</v>
      </c>
      <c r="I3" s="659"/>
      <c r="J3" s="659"/>
      <c r="K3" s="659"/>
      <c r="L3" s="659"/>
      <c r="M3" s="659"/>
    </row>
    <row r="4" spans="1:16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658" t="s">
        <v>7</v>
      </c>
      <c r="H4" s="658" t="s">
        <v>8</v>
      </c>
      <c r="I4" s="658" t="s">
        <v>9</v>
      </c>
      <c r="J4" s="814" t="s">
        <v>47</v>
      </c>
      <c r="K4" s="752" t="s">
        <v>46</v>
      </c>
      <c r="L4" s="753"/>
      <c r="M4" s="7" t="s">
        <v>1</v>
      </c>
    </row>
    <row r="5" spans="1:16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6" s="59" customFormat="1" ht="19.5" x14ac:dyDescent="0.3">
      <c r="A6" s="54" t="s">
        <v>32</v>
      </c>
      <c r="B6" s="55" t="s">
        <v>1031</v>
      </c>
      <c r="C6" s="56"/>
      <c r="D6" s="57" t="s">
        <v>11</v>
      </c>
      <c r="E6" s="57" t="s">
        <v>10</v>
      </c>
      <c r="F6" s="33">
        <v>366130</v>
      </c>
      <c r="G6" s="33"/>
      <c r="H6" s="33">
        <v>33690</v>
      </c>
      <c r="I6" s="58">
        <f>F6-H6</f>
        <v>332440</v>
      </c>
      <c r="J6" s="60">
        <v>1</v>
      </c>
      <c r="K6" s="60">
        <v>416</v>
      </c>
      <c r="L6" s="60"/>
      <c r="M6" s="338" t="s">
        <v>1036</v>
      </c>
      <c r="N6" s="71"/>
    </row>
    <row r="7" spans="1:16" s="12" customFormat="1" ht="15.75" x14ac:dyDescent="0.25">
      <c r="A7" s="54" t="s">
        <v>33</v>
      </c>
      <c r="B7" s="55" t="s">
        <v>1037</v>
      </c>
      <c r="C7" s="56"/>
      <c r="D7" s="57" t="s">
        <v>11</v>
      </c>
      <c r="E7" s="57" t="s">
        <v>10</v>
      </c>
      <c r="F7" s="33">
        <f>I6</f>
        <v>332440</v>
      </c>
      <c r="G7" s="33"/>
      <c r="H7" s="33">
        <v>28800</v>
      </c>
      <c r="I7" s="58">
        <f>F7-H7</f>
        <v>303640</v>
      </c>
      <c r="J7" s="60">
        <v>1</v>
      </c>
      <c r="K7" s="60">
        <v>355</v>
      </c>
      <c r="L7" s="60"/>
      <c r="M7" s="69"/>
      <c r="N7" s="71"/>
    </row>
    <row r="8" spans="1:16" s="12" customFormat="1" ht="15.75" x14ac:dyDescent="0.25">
      <c r="A8" s="54" t="s">
        <v>34</v>
      </c>
      <c r="B8" s="55" t="s">
        <v>1037</v>
      </c>
      <c r="C8" s="56"/>
      <c r="D8" s="57" t="s">
        <v>11</v>
      </c>
      <c r="E8" s="57" t="s">
        <v>10</v>
      </c>
      <c r="F8" s="33">
        <f>I7</f>
        <v>303640</v>
      </c>
      <c r="G8" s="33"/>
      <c r="H8" s="33">
        <v>102180</v>
      </c>
      <c r="I8" s="58">
        <f>F8-H8</f>
        <v>201460</v>
      </c>
      <c r="J8" s="60">
        <v>3</v>
      </c>
      <c r="K8" s="60">
        <f>408+405+433</f>
        <v>1246</v>
      </c>
      <c r="L8" s="60"/>
      <c r="M8" s="69"/>
      <c r="N8" s="71"/>
    </row>
    <row r="9" spans="1:16" s="12" customFormat="1" ht="15.75" x14ac:dyDescent="0.25">
      <c r="A9" s="54" t="s">
        <v>35</v>
      </c>
      <c r="B9" s="55" t="s">
        <v>1045</v>
      </c>
      <c r="C9" s="56"/>
      <c r="D9" s="57" t="s">
        <v>11</v>
      </c>
      <c r="E9" s="57" t="s">
        <v>10</v>
      </c>
      <c r="F9" s="33">
        <f>I8</f>
        <v>201460</v>
      </c>
      <c r="G9" s="33"/>
      <c r="H9" s="33">
        <v>67710</v>
      </c>
      <c r="I9" s="58">
        <f t="shared" ref="I9:I11" si="0">F9-H9</f>
        <v>133750</v>
      </c>
      <c r="J9" s="60">
        <v>2</v>
      </c>
      <c r="K9" s="60">
        <f>414+422</f>
        <v>836</v>
      </c>
      <c r="L9" s="60"/>
      <c r="M9" s="69"/>
      <c r="N9" s="71"/>
    </row>
    <row r="10" spans="1:16" s="12" customFormat="1" ht="15.75" x14ac:dyDescent="0.25">
      <c r="A10" s="54" t="s">
        <v>36</v>
      </c>
      <c r="B10" s="55" t="s">
        <v>1046</v>
      </c>
      <c r="C10" s="56"/>
      <c r="D10" s="57" t="s">
        <v>11</v>
      </c>
      <c r="E10" s="57" t="s">
        <v>10</v>
      </c>
      <c r="F10" s="33">
        <f>I9</f>
        <v>133750</v>
      </c>
      <c r="G10" s="33"/>
      <c r="H10" s="33">
        <v>64860</v>
      </c>
      <c r="I10" s="58">
        <f t="shared" si="0"/>
        <v>68890</v>
      </c>
      <c r="J10" s="60">
        <v>2</v>
      </c>
      <c r="K10" s="60">
        <f>387+418</f>
        <v>805</v>
      </c>
      <c r="L10" s="60"/>
      <c r="M10" s="69"/>
      <c r="N10" s="71"/>
    </row>
    <row r="11" spans="1:16" s="12" customFormat="1" ht="15.75" x14ac:dyDescent="0.25">
      <c r="A11" s="54" t="s">
        <v>17</v>
      </c>
      <c r="B11" s="55" t="s">
        <v>1050</v>
      </c>
      <c r="C11" s="56"/>
      <c r="D11" s="57" t="s">
        <v>11</v>
      </c>
      <c r="E11" s="57" t="s">
        <v>10</v>
      </c>
      <c r="F11" s="33">
        <f>I10</f>
        <v>68890</v>
      </c>
      <c r="G11" s="33"/>
      <c r="H11" s="33">
        <v>57870</v>
      </c>
      <c r="I11" s="58">
        <f t="shared" si="0"/>
        <v>11020</v>
      </c>
      <c r="J11" s="60">
        <v>2</v>
      </c>
      <c r="K11" s="60">
        <f>434+294</f>
        <v>728</v>
      </c>
      <c r="L11" s="60"/>
      <c r="M11" s="69"/>
      <c r="N11" s="71"/>
    </row>
    <row r="12" spans="1:16" s="12" customFormat="1" ht="15.75" x14ac:dyDescent="0.25">
      <c r="A12" s="54" t="s">
        <v>18</v>
      </c>
      <c r="B12" s="515"/>
      <c r="C12" s="56"/>
      <c r="D12" s="57" t="s">
        <v>11</v>
      </c>
      <c r="E12" s="57" t="s">
        <v>10</v>
      </c>
      <c r="F12" s="33"/>
      <c r="G12" s="33"/>
      <c r="H12" s="33"/>
      <c r="I12" s="58">
        <f>F12-H12</f>
        <v>0</v>
      </c>
      <c r="J12" s="60"/>
      <c r="K12" s="60"/>
      <c r="L12" s="60"/>
      <c r="M12" s="69"/>
      <c r="N12" s="71"/>
      <c r="P12" s="12" t="s">
        <v>1010</v>
      </c>
    </row>
    <row r="13" spans="1:16" s="4" customFormat="1" ht="20.25" x14ac:dyDescent="0.3">
      <c r="A13" s="816" t="s">
        <v>209</v>
      </c>
      <c r="B13" s="817"/>
      <c r="C13" s="817"/>
      <c r="D13" s="817"/>
      <c r="E13" s="818"/>
      <c r="F13" s="260"/>
      <c r="G13" s="260"/>
      <c r="H13" s="366">
        <f>SUM(H6:H12)</f>
        <v>355110</v>
      </c>
      <c r="I13" s="260">
        <f>F6-H13</f>
        <v>11020</v>
      </c>
      <c r="J13" s="260">
        <f>SUM(J6:J12)</f>
        <v>11</v>
      </c>
      <c r="K13" s="260">
        <f>SUM(K6:K12)</f>
        <v>4386</v>
      </c>
      <c r="L13" s="261"/>
      <c r="M13" s="262">
        <f>+H13-K13</f>
        <v>350724</v>
      </c>
    </row>
    <row r="14" spans="1:16" s="4" customFormat="1" ht="20.25" x14ac:dyDescent="0.3">
      <c r="A14" s="41"/>
      <c r="B14" s="41"/>
      <c r="C14" s="41"/>
      <c r="D14" s="41"/>
      <c r="E14" s="41"/>
      <c r="F14" s="42"/>
      <c r="G14" s="42"/>
      <c r="H14" s="42"/>
      <c r="I14" s="42"/>
      <c r="J14" s="42"/>
      <c r="K14" s="42"/>
      <c r="L14" s="42"/>
      <c r="M14" s="43"/>
    </row>
    <row r="15" spans="1:16" x14ac:dyDescent="0.25">
      <c r="F15" s="19"/>
    </row>
    <row r="16" spans="1:16" x14ac:dyDescent="0.25">
      <c r="F16" s="34"/>
      <c r="G16" s="19"/>
      <c r="H16" s="19"/>
      <c r="I16" s="19"/>
      <c r="J16" s="19"/>
      <c r="K16" s="19"/>
      <c r="L16" s="19"/>
    </row>
    <row r="17" spans="1:13" x14ac:dyDescent="0.25">
      <c r="F17" s="19"/>
      <c r="G17" s="19"/>
    </row>
    <row r="18" spans="1:13" s="19" customFormat="1" x14ac:dyDescent="0.25">
      <c r="A18" s="29"/>
      <c r="B18" s="29"/>
      <c r="C18" s="18"/>
      <c r="D18"/>
      <c r="E18"/>
      <c r="F18" s="34"/>
      <c r="G18"/>
      <c r="I18"/>
      <c r="J18"/>
      <c r="K18"/>
      <c r="L18"/>
      <c r="M18"/>
    </row>
    <row r="19" spans="1:13" s="19" customFormat="1" x14ac:dyDescent="0.25">
      <c r="A19" s="29"/>
      <c r="B19" s="29"/>
      <c r="C19" s="18"/>
      <c r="D19"/>
      <c r="E19"/>
      <c r="F19" s="35"/>
      <c r="G19"/>
      <c r="H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G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H21"/>
      <c r="I21"/>
      <c r="J21"/>
      <c r="K21"/>
      <c r="L21"/>
      <c r="M21"/>
    </row>
  </sheetData>
  <mergeCells count="5">
    <mergeCell ref="A1:M1"/>
    <mergeCell ref="A2:M2"/>
    <mergeCell ref="J4:J5"/>
    <mergeCell ref="K4:L4"/>
    <mergeCell ref="A13:E13"/>
  </mergeCells>
  <hyperlinks>
    <hyperlink ref="H3" location="'ĐIỀU KHO 1.2'!A35" display="BILL 7711"/>
  </hyperlinks>
  <pageMargins left="0.7" right="0.7" top="0.75" bottom="0.75" header="0.3" footer="0.3"/>
  <pageSetup orientation="portrait" horizontalDpi="180" verticalDpi="18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workbookViewId="0">
      <selection activeCell="M11" sqref="M11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6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6" s="52" customFormat="1" ht="22.5" x14ac:dyDescent="0.3">
      <c r="A2" s="813" t="s">
        <v>882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6" s="52" customFormat="1" ht="22.5" x14ac:dyDescent="0.3">
      <c r="A3" s="639"/>
      <c r="B3" s="639"/>
      <c r="C3" s="639"/>
      <c r="D3" s="639"/>
      <c r="E3" s="639"/>
      <c r="F3" s="639"/>
      <c r="G3" s="639" t="s">
        <v>48</v>
      </c>
      <c r="H3" s="640" t="s">
        <v>883</v>
      </c>
      <c r="I3" s="639"/>
      <c r="J3" s="639"/>
      <c r="K3" s="639"/>
      <c r="L3" s="639"/>
      <c r="M3" s="639"/>
    </row>
    <row r="4" spans="1:16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638" t="s">
        <v>7</v>
      </c>
      <c r="H4" s="638" t="s">
        <v>8</v>
      </c>
      <c r="I4" s="638" t="s">
        <v>9</v>
      </c>
      <c r="J4" s="814" t="s">
        <v>47</v>
      </c>
      <c r="K4" s="752" t="s">
        <v>46</v>
      </c>
      <c r="L4" s="753"/>
      <c r="M4" s="7" t="s">
        <v>1</v>
      </c>
    </row>
    <row r="5" spans="1:16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6" s="59" customFormat="1" ht="19.5" x14ac:dyDescent="0.3">
      <c r="A6" s="54" t="s">
        <v>32</v>
      </c>
      <c r="B6" s="55" t="s">
        <v>884</v>
      </c>
      <c r="C6" s="56"/>
      <c r="D6" s="57" t="s">
        <v>11</v>
      </c>
      <c r="E6" s="57" t="s">
        <v>10</v>
      </c>
      <c r="F6" s="33">
        <v>274300</v>
      </c>
      <c r="G6" s="33"/>
      <c r="H6" s="33">
        <v>238890</v>
      </c>
      <c r="I6" s="58">
        <f>F6-H6</f>
        <v>35410</v>
      </c>
      <c r="J6" s="60">
        <v>7</v>
      </c>
      <c r="K6" s="60">
        <f>410+424+424+404+419+427+404</f>
        <v>2912</v>
      </c>
      <c r="L6" s="60"/>
      <c r="M6" s="338" t="s">
        <v>881</v>
      </c>
      <c r="N6" s="71"/>
    </row>
    <row r="7" spans="1:16" s="12" customFormat="1" ht="15.75" x14ac:dyDescent="0.25">
      <c r="A7" s="54" t="s">
        <v>33</v>
      </c>
      <c r="B7" s="55" t="s">
        <v>884</v>
      </c>
      <c r="C7" s="56"/>
      <c r="D7" s="57" t="s">
        <v>11</v>
      </c>
      <c r="E7" s="57" t="s">
        <v>10</v>
      </c>
      <c r="F7" s="33">
        <f>I6</f>
        <v>35410</v>
      </c>
      <c r="G7" s="33"/>
      <c r="H7" s="33">
        <v>31220</v>
      </c>
      <c r="I7" s="58">
        <f>F7-H7</f>
        <v>4190</v>
      </c>
      <c r="J7" s="60">
        <v>1</v>
      </c>
      <c r="K7" s="60">
        <v>381</v>
      </c>
      <c r="L7" s="60"/>
      <c r="M7" s="69"/>
      <c r="N7" s="71"/>
    </row>
    <row r="8" spans="1:16" s="12" customFormat="1" ht="15.75" x14ac:dyDescent="0.25">
      <c r="A8" s="54" t="s">
        <v>34</v>
      </c>
      <c r="B8" s="55"/>
      <c r="C8" s="56"/>
      <c r="D8" s="57" t="s">
        <v>11</v>
      </c>
      <c r="E8" s="57" t="s">
        <v>10</v>
      </c>
      <c r="F8" s="33"/>
      <c r="G8" s="33"/>
      <c r="H8" s="33"/>
      <c r="I8" s="58">
        <f>F8-H8</f>
        <v>0</v>
      </c>
      <c r="J8" s="60"/>
      <c r="K8" s="60"/>
      <c r="L8" s="60"/>
      <c r="M8" s="69"/>
      <c r="N8" s="71"/>
    </row>
    <row r="9" spans="1:16" s="12" customFormat="1" ht="15.75" x14ac:dyDescent="0.25">
      <c r="A9" s="54" t="s">
        <v>35</v>
      </c>
      <c r="B9" s="515"/>
      <c r="C9" s="56"/>
      <c r="D9" s="57" t="s">
        <v>11</v>
      </c>
      <c r="E9" s="57" t="s">
        <v>10</v>
      </c>
      <c r="F9" s="33"/>
      <c r="G9" s="33"/>
      <c r="H9" s="33"/>
      <c r="I9" s="58">
        <f>F9-H9</f>
        <v>0</v>
      </c>
      <c r="J9" s="60"/>
      <c r="K9" s="60"/>
      <c r="L9" s="60"/>
      <c r="M9" s="69"/>
      <c r="N9" s="71"/>
      <c r="P9" s="12" t="s">
        <v>1010</v>
      </c>
    </row>
    <row r="10" spans="1:16" s="4" customFormat="1" ht="20.25" x14ac:dyDescent="0.3">
      <c r="A10" s="816" t="s">
        <v>209</v>
      </c>
      <c r="B10" s="817"/>
      <c r="C10" s="817"/>
      <c r="D10" s="817"/>
      <c r="E10" s="818"/>
      <c r="F10" s="260"/>
      <c r="G10" s="260"/>
      <c r="H10" s="366">
        <f>SUM(H6:H9)</f>
        <v>270110</v>
      </c>
      <c r="I10" s="260">
        <f>F6-H10</f>
        <v>4190</v>
      </c>
      <c r="J10" s="260">
        <f>SUM(J6:J9)</f>
        <v>8</v>
      </c>
      <c r="K10" s="260">
        <f>SUM(K6:K9)</f>
        <v>3293</v>
      </c>
      <c r="L10" s="261"/>
      <c r="M10" s="262">
        <f>+H10-K10</f>
        <v>266817</v>
      </c>
    </row>
    <row r="11" spans="1:16" s="4" customFormat="1" ht="20.25" x14ac:dyDescent="0.3">
      <c r="A11" s="41"/>
      <c r="B11" s="41"/>
      <c r="C11" s="41"/>
      <c r="D11" s="41"/>
      <c r="E11" s="41"/>
      <c r="F11" s="42"/>
      <c r="G11" s="42"/>
      <c r="H11" s="42"/>
      <c r="I11" s="42"/>
      <c r="J11" s="42"/>
      <c r="K11" s="42"/>
      <c r="L11" s="42"/>
      <c r="M11" s="43"/>
    </row>
    <row r="12" spans="1:16" x14ac:dyDescent="0.25">
      <c r="F12" s="19"/>
    </row>
    <row r="13" spans="1:16" x14ac:dyDescent="0.25">
      <c r="F13" s="34"/>
      <c r="G13" s="19"/>
      <c r="H13" s="19"/>
      <c r="I13" s="19"/>
      <c r="J13" s="19"/>
      <c r="K13" s="19"/>
      <c r="L13" s="19"/>
    </row>
    <row r="14" spans="1:16" x14ac:dyDescent="0.25">
      <c r="F14" s="19"/>
      <c r="G14" s="19"/>
    </row>
    <row r="15" spans="1:16" s="19" customFormat="1" x14ac:dyDescent="0.25">
      <c r="A15" s="29"/>
      <c r="B15" s="29"/>
      <c r="C15" s="18"/>
      <c r="D15"/>
      <c r="E15"/>
      <c r="F15" s="34"/>
      <c r="G15"/>
      <c r="I15"/>
      <c r="J15"/>
      <c r="K15"/>
      <c r="L15"/>
      <c r="M15"/>
    </row>
    <row r="16" spans="1:16" s="19" customFormat="1" x14ac:dyDescent="0.25">
      <c r="A16" s="29"/>
      <c r="B16" s="29"/>
      <c r="C16" s="18"/>
      <c r="D16"/>
      <c r="E16"/>
      <c r="F16" s="35"/>
      <c r="G16"/>
      <c r="H16"/>
      <c r="I16"/>
      <c r="J16"/>
      <c r="K16"/>
      <c r="L16"/>
      <c r="M16"/>
    </row>
    <row r="17" spans="1:13" s="19" customFormat="1" x14ac:dyDescent="0.25">
      <c r="A17" s="29"/>
      <c r="B17" s="29"/>
      <c r="C17" s="18"/>
      <c r="D17"/>
      <c r="E17"/>
      <c r="G17"/>
      <c r="I17"/>
      <c r="J17"/>
      <c r="K17"/>
      <c r="L17"/>
      <c r="M17"/>
    </row>
    <row r="18" spans="1:13" s="19" customFormat="1" x14ac:dyDescent="0.25">
      <c r="A18" s="29"/>
      <c r="B18" s="29"/>
      <c r="C18" s="18"/>
      <c r="D18"/>
      <c r="E18"/>
      <c r="G18"/>
      <c r="H18"/>
      <c r="I18"/>
      <c r="J18"/>
      <c r="K18"/>
      <c r="L18"/>
      <c r="M18"/>
    </row>
  </sheetData>
  <mergeCells count="5">
    <mergeCell ref="A1:M1"/>
    <mergeCell ref="A2:M2"/>
    <mergeCell ref="J4:J5"/>
    <mergeCell ref="K4:L4"/>
    <mergeCell ref="A10:E10"/>
  </mergeCells>
  <hyperlinks>
    <hyperlink ref="H3" location="'ĐIỀU KHO 1.2'!A31" display="BILL 2430"/>
  </hyperlinks>
  <pageMargins left="0.7" right="0.7" top="0.75" bottom="0.75" header="0.3" footer="0.3"/>
  <pageSetup orientation="portrait" horizontalDpi="180" verticalDpi="18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0"/>
  <sheetViews>
    <sheetView topLeftCell="A10" workbookViewId="0">
      <selection activeCell="I20" sqref="I20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899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465"/>
      <c r="B3" s="465"/>
      <c r="C3" s="465"/>
      <c r="D3" s="465"/>
      <c r="E3" s="465"/>
      <c r="F3" s="465"/>
      <c r="G3" s="465" t="s">
        <v>48</v>
      </c>
      <c r="H3" s="73" t="s">
        <v>897</v>
      </c>
      <c r="I3" s="465"/>
      <c r="J3" s="465"/>
      <c r="K3" s="465"/>
      <c r="L3" s="465"/>
      <c r="M3" s="465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464" t="s">
        <v>7</v>
      </c>
      <c r="H4" s="464" t="s">
        <v>8</v>
      </c>
      <c r="I4" s="464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54" t="s">
        <v>32</v>
      </c>
      <c r="B6" s="55" t="s">
        <v>898</v>
      </c>
      <c r="C6" s="56"/>
      <c r="D6" s="57" t="s">
        <v>11</v>
      </c>
      <c r="E6" s="57" t="s">
        <v>10</v>
      </c>
      <c r="F6" s="175">
        <v>546669</v>
      </c>
      <c r="G6" s="33"/>
      <c r="H6" s="14">
        <v>135490</v>
      </c>
      <c r="I6" s="58">
        <f t="shared" ref="I6:I11" si="0">F6-H6</f>
        <v>411179</v>
      </c>
      <c r="J6" s="60">
        <v>4</v>
      </c>
      <c r="K6" s="60">
        <f>408+414+409+402</f>
        <v>1633</v>
      </c>
      <c r="L6" s="22"/>
      <c r="M6" s="338" t="s">
        <v>973</v>
      </c>
      <c r="N6" s="71"/>
    </row>
    <row r="7" spans="1:14" s="12" customFormat="1" ht="15.75" x14ac:dyDescent="0.25">
      <c r="A7" s="28" t="s">
        <v>33</v>
      </c>
      <c r="B7" s="55" t="s">
        <v>898</v>
      </c>
      <c r="C7" s="17"/>
      <c r="D7" s="57" t="s">
        <v>11</v>
      </c>
      <c r="E7" s="57" t="s">
        <v>10</v>
      </c>
      <c r="F7" s="175">
        <f>I6</f>
        <v>411179</v>
      </c>
      <c r="G7" s="14"/>
      <c r="H7" s="14">
        <v>107670</v>
      </c>
      <c r="I7" s="58">
        <f t="shared" si="0"/>
        <v>303509</v>
      </c>
      <c r="J7" s="22">
        <v>4</v>
      </c>
      <c r="K7" s="22">
        <f>416+244+220+416</f>
        <v>1296</v>
      </c>
      <c r="L7" s="22"/>
      <c r="M7" s="69"/>
      <c r="N7" s="71"/>
    </row>
    <row r="8" spans="1:14" s="12" customFormat="1" ht="15.75" x14ac:dyDescent="0.25">
      <c r="A8" s="28" t="s">
        <v>34</v>
      </c>
      <c r="B8" s="55" t="s">
        <v>904</v>
      </c>
      <c r="C8" s="17"/>
      <c r="D8" s="57" t="s">
        <v>11</v>
      </c>
      <c r="E8" s="57" t="s">
        <v>10</v>
      </c>
      <c r="F8" s="175">
        <f>I7</f>
        <v>303509</v>
      </c>
      <c r="G8" s="14"/>
      <c r="H8" s="14">
        <v>167820</v>
      </c>
      <c r="I8" s="58">
        <f t="shared" si="0"/>
        <v>135689</v>
      </c>
      <c r="J8" s="22">
        <v>5</v>
      </c>
      <c r="K8" s="22">
        <f>416+410+395+400+399</f>
        <v>2020</v>
      </c>
      <c r="L8" s="22"/>
      <c r="M8" s="69"/>
      <c r="N8" s="71"/>
    </row>
    <row r="9" spans="1:14" s="12" customFormat="1" ht="15.75" x14ac:dyDescent="0.25">
      <c r="A9" s="28" t="s">
        <v>35</v>
      </c>
      <c r="B9" s="181" t="s">
        <v>904</v>
      </c>
      <c r="C9" s="17"/>
      <c r="D9" s="57" t="s">
        <v>11</v>
      </c>
      <c r="E9" s="57" t="s">
        <v>10</v>
      </c>
      <c r="F9" s="175">
        <f>I8</f>
        <v>135689</v>
      </c>
      <c r="G9" s="14"/>
      <c r="H9" s="14">
        <v>51360</v>
      </c>
      <c r="I9" s="58">
        <f t="shared" si="0"/>
        <v>84329</v>
      </c>
      <c r="J9" s="22">
        <v>2</v>
      </c>
      <c r="K9" s="22">
        <f>401+218</f>
        <v>619</v>
      </c>
      <c r="L9" s="22"/>
      <c r="M9" s="69"/>
      <c r="N9" s="71"/>
    </row>
    <row r="10" spans="1:14" s="12" customFormat="1" ht="15.75" x14ac:dyDescent="0.25">
      <c r="A10" s="28" t="s">
        <v>36</v>
      </c>
      <c r="B10" s="181" t="s">
        <v>905</v>
      </c>
      <c r="C10" s="17"/>
      <c r="D10" s="57" t="s">
        <v>11</v>
      </c>
      <c r="E10" s="57" t="s">
        <v>10</v>
      </c>
      <c r="F10" s="175">
        <f>I9</f>
        <v>84329</v>
      </c>
      <c r="G10" s="14"/>
      <c r="H10" s="14">
        <v>69650</v>
      </c>
      <c r="I10" s="58">
        <f t="shared" si="0"/>
        <v>14679</v>
      </c>
      <c r="J10" s="22">
        <v>2</v>
      </c>
      <c r="K10" s="22">
        <f>408+430</f>
        <v>838</v>
      </c>
      <c r="L10" s="22"/>
      <c r="M10" s="69"/>
      <c r="N10" s="71"/>
    </row>
    <row r="11" spans="1:14" s="12" customFormat="1" ht="15.75" x14ac:dyDescent="0.25">
      <c r="A11" s="28" t="s">
        <v>17</v>
      </c>
      <c r="B11" s="181"/>
      <c r="C11" s="17"/>
      <c r="D11" s="57"/>
      <c r="E11" s="57"/>
      <c r="F11" s="33"/>
      <c r="G11" s="14"/>
      <c r="H11" s="14"/>
      <c r="I11" s="58">
        <f t="shared" si="0"/>
        <v>0</v>
      </c>
      <c r="J11" s="22"/>
      <c r="K11" s="22"/>
      <c r="L11" s="22"/>
      <c r="M11" s="69"/>
      <c r="N11" s="71"/>
    </row>
    <row r="12" spans="1:14" s="4" customFormat="1" ht="20.25" x14ac:dyDescent="0.3">
      <c r="A12" s="816" t="s">
        <v>970</v>
      </c>
      <c r="B12" s="817"/>
      <c r="C12" s="817"/>
      <c r="D12" s="817"/>
      <c r="E12" s="818"/>
      <c r="F12" s="260"/>
      <c r="G12" s="260"/>
      <c r="H12" s="366">
        <f>SUM(H6:H11)</f>
        <v>531990</v>
      </c>
      <c r="I12" s="260">
        <f>F6-H12</f>
        <v>14679</v>
      </c>
      <c r="J12" s="260">
        <f>SUM(J6:J11)</f>
        <v>17</v>
      </c>
      <c r="K12" s="260">
        <f>SUM(K6:K11)</f>
        <v>6406</v>
      </c>
      <c r="L12" s="261"/>
      <c r="M12" s="262">
        <f>+H12-K12</f>
        <v>525584</v>
      </c>
    </row>
    <row r="13" spans="1:14" s="59" customFormat="1" ht="19.5" x14ac:dyDescent="0.3">
      <c r="A13" s="417" t="s">
        <v>32</v>
      </c>
      <c r="B13" s="416" t="s">
        <v>977</v>
      </c>
      <c r="C13" s="415"/>
      <c r="D13" s="140" t="s">
        <v>11</v>
      </c>
      <c r="E13" s="140" t="s">
        <v>10</v>
      </c>
      <c r="F13" s="32">
        <v>46791</v>
      </c>
      <c r="G13" s="32"/>
      <c r="H13" s="32">
        <v>27520</v>
      </c>
      <c r="I13" s="414">
        <f>F13-H13</f>
        <v>19271</v>
      </c>
      <c r="J13" s="413">
        <v>1</v>
      </c>
      <c r="K13" s="413">
        <v>334</v>
      </c>
      <c r="L13" s="413"/>
      <c r="M13" s="624" t="s">
        <v>972</v>
      </c>
      <c r="N13" s="71"/>
    </row>
    <row r="14" spans="1:14" s="59" customFormat="1" ht="19.5" x14ac:dyDescent="0.3">
      <c r="A14" s="417" t="s">
        <v>33</v>
      </c>
      <c r="B14" s="416" t="s">
        <v>982</v>
      </c>
      <c r="C14" s="415"/>
      <c r="D14" s="140" t="s">
        <v>11</v>
      </c>
      <c r="E14" s="140" t="s">
        <v>10</v>
      </c>
      <c r="F14" s="32">
        <f>I13</f>
        <v>19271</v>
      </c>
      <c r="G14" s="32"/>
      <c r="H14" s="32">
        <v>11720</v>
      </c>
      <c r="I14" s="414">
        <f t="shared" ref="I14:I17" si="1">F14-H14</f>
        <v>7551</v>
      </c>
      <c r="J14" s="413">
        <v>2</v>
      </c>
      <c r="K14" s="413">
        <f>44+99</f>
        <v>143</v>
      </c>
      <c r="L14" s="413"/>
      <c r="M14" s="637"/>
      <c r="N14" s="71"/>
    </row>
    <row r="15" spans="1:14" s="59" customFormat="1" ht="19.5" x14ac:dyDescent="0.3">
      <c r="A15" s="417" t="s">
        <v>34</v>
      </c>
      <c r="B15" s="416"/>
      <c r="C15" s="415"/>
      <c r="D15" s="140" t="s">
        <v>11</v>
      </c>
      <c r="E15" s="140" t="s">
        <v>10</v>
      </c>
      <c r="F15" s="32"/>
      <c r="G15" s="32"/>
      <c r="H15" s="32"/>
      <c r="I15" s="414">
        <f t="shared" si="1"/>
        <v>0</v>
      </c>
      <c r="J15" s="413"/>
      <c r="K15" s="413"/>
      <c r="L15" s="413"/>
      <c r="M15" s="637"/>
      <c r="N15" s="71"/>
    </row>
    <row r="16" spans="1:14" s="59" customFormat="1" ht="19.5" x14ac:dyDescent="0.3">
      <c r="A16" s="417" t="s">
        <v>35</v>
      </c>
      <c r="B16" s="416"/>
      <c r="C16" s="415"/>
      <c r="D16" s="140" t="s">
        <v>11</v>
      </c>
      <c r="E16" s="140" t="s">
        <v>10</v>
      </c>
      <c r="F16" s="32"/>
      <c r="G16" s="32"/>
      <c r="H16" s="32"/>
      <c r="I16" s="414">
        <f t="shared" si="1"/>
        <v>0</v>
      </c>
      <c r="J16" s="413"/>
      <c r="K16" s="413"/>
      <c r="L16" s="413"/>
      <c r="M16" s="637"/>
      <c r="N16" s="71"/>
    </row>
    <row r="17" spans="1:14" s="59" customFormat="1" ht="19.5" x14ac:dyDescent="0.3">
      <c r="A17" s="417" t="s">
        <v>36</v>
      </c>
      <c r="B17" s="416"/>
      <c r="C17" s="415"/>
      <c r="D17" s="140" t="s">
        <v>11</v>
      </c>
      <c r="E17" s="140" t="s">
        <v>10</v>
      </c>
      <c r="F17" s="32"/>
      <c r="G17" s="32"/>
      <c r="H17" s="32"/>
      <c r="I17" s="414">
        <f t="shared" si="1"/>
        <v>0</v>
      </c>
      <c r="J17" s="413"/>
      <c r="K17" s="413"/>
      <c r="L17" s="413"/>
      <c r="M17" s="637"/>
      <c r="N17" s="71"/>
    </row>
    <row r="18" spans="1:14" s="4" customFormat="1" ht="20.25" x14ac:dyDescent="0.3">
      <c r="A18" s="816" t="s">
        <v>971</v>
      </c>
      <c r="B18" s="817"/>
      <c r="C18" s="817"/>
      <c r="D18" s="817"/>
      <c r="E18" s="818"/>
      <c r="F18" s="260"/>
      <c r="G18" s="260"/>
      <c r="H18" s="366">
        <f>SUM(H13:H17)</f>
        <v>39240</v>
      </c>
      <c r="I18" s="260">
        <f>F13-H18</f>
        <v>7551</v>
      </c>
      <c r="J18" s="260">
        <f>SUM(J13:J17)</f>
        <v>3</v>
      </c>
      <c r="K18" s="260">
        <f>SUM(K13:K17)</f>
        <v>477</v>
      </c>
      <c r="L18" s="261"/>
      <c r="M18" s="262"/>
    </row>
    <row r="19" spans="1:14" s="4" customFormat="1" ht="20.25" x14ac:dyDescent="0.3">
      <c r="A19" s="816" t="s">
        <v>5</v>
      </c>
      <c r="B19" s="817"/>
      <c r="C19" s="817"/>
      <c r="D19" s="817"/>
      <c r="E19" s="818"/>
      <c r="F19" s="260"/>
      <c r="G19" s="260"/>
      <c r="H19" s="366">
        <f>H12+H18</f>
        <v>571230</v>
      </c>
      <c r="I19" s="260">
        <f>596090-H19</f>
        <v>24860</v>
      </c>
      <c r="J19" s="260">
        <f>SUM(J12+J18)</f>
        <v>20</v>
      </c>
      <c r="K19" s="260">
        <f>SUM(K12+K18)</f>
        <v>6883</v>
      </c>
      <c r="L19" s="261"/>
      <c r="M19" s="262"/>
    </row>
    <row r="20" spans="1:14" s="19" customFormat="1" x14ac:dyDescent="0.25">
      <c r="A20" s="29"/>
      <c r="B20" s="29"/>
      <c r="C20" s="18"/>
      <c r="D20"/>
      <c r="E20"/>
      <c r="G20"/>
      <c r="H20"/>
      <c r="I20"/>
      <c r="J20"/>
      <c r="K20"/>
      <c r="L20"/>
      <c r="M20"/>
    </row>
  </sheetData>
  <mergeCells count="7">
    <mergeCell ref="A18:E18"/>
    <mergeCell ref="A19:E19"/>
    <mergeCell ref="A1:M1"/>
    <mergeCell ref="A2:M2"/>
    <mergeCell ref="J4:J5"/>
    <mergeCell ref="K4:L4"/>
    <mergeCell ref="A12:E12"/>
  </mergeCells>
  <hyperlinks>
    <hyperlink ref="H3" location="'ĐIỀU KHO 2.3'!A19" display="BILL 9527"/>
  </hyperlinks>
  <pageMargins left="0.7" right="0.7" top="0.75" bottom="0.75" header="0.3" footer="0.3"/>
  <pageSetup orientation="portrait" horizontalDpi="180" verticalDpi="18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5"/>
  <sheetViews>
    <sheetView topLeftCell="A4" workbookViewId="0">
      <selection activeCell="H18" sqref="H18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19.42578125" customWidth="1"/>
    <col min="14" max="14" width="11.5703125" bestFit="1" customWidth="1"/>
  </cols>
  <sheetData>
    <row r="1" spans="1:15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5" s="52" customFormat="1" ht="22.5" x14ac:dyDescent="0.3">
      <c r="A2" s="812" t="s">
        <v>66</v>
      </c>
      <c r="B2" s="812"/>
      <c r="C2" s="812"/>
      <c r="D2" s="812"/>
      <c r="E2" s="812"/>
      <c r="F2" s="812"/>
      <c r="G2" s="812"/>
      <c r="H2" s="812"/>
      <c r="I2" s="812"/>
      <c r="J2" s="812"/>
      <c r="K2" s="812"/>
      <c r="L2" s="812"/>
      <c r="M2" s="812"/>
    </row>
    <row r="3" spans="1:15" s="52" customFormat="1" ht="22.5" x14ac:dyDescent="0.3">
      <c r="A3" s="265"/>
      <c r="B3" s="265"/>
      <c r="C3" s="265"/>
      <c r="D3" s="265"/>
      <c r="E3" s="265"/>
      <c r="F3" s="265"/>
      <c r="G3" s="265" t="s">
        <v>48</v>
      </c>
      <c r="H3" s="73" t="s">
        <v>667</v>
      </c>
      <c r="I3" s="265"/>
      <c r="J3" s="265"/>
      <c r="K3" s="265"/>
      <c r="L3" s="265"/>
      <c r="M3" s="265"/>
    </row>
    <row r="4" spans="1:15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264" t="s">
        <v>7</v>
      </c>
      <c r="H4" s="264" t="s">
        <v>8</v>
      </c>
      <c r="I4" s="264" t="s">
        <v>9</v>
      </c>
      <c r="J4" s="814" t="s">
        <v>47</v>
      </c>
      <c r="K4" s="752" t="s">
        <v>46</v>
      </c>
      <c r="L4" s="753"/>
      <c r="M4" s="7" t="s">
        <v>1</v>
      </c>
    </row>
    <row r="5" spans="1:15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5" s="59" customFormat="1" ht="15.75" x14ac:dyDescent="0.25">
      <c r="A6" s="54" t="s">
        <v>32</v>
      </c>
      <c r="B6" s="55" t="s">
        <v>669</v>
      </c>
      <c r="C6" s="56"/>
      <c r="D6" s="57" t="s">
        <v>11</v>
      </c>
      <c r="E6" s="57" t="s">
        <v>10</v>
      </c>
      <c r="F6" s="33">
        <v>19520</v>
      </c>
      <c r="G6" s="33"/>
      <c r="H6" s="33">
        <v>4110</v>
      </c>
      <c r="I6" s="58">
        <f>F6-H6</f>
        <v>15410</v>
      </c>
      <c r="J6" s="60">
        <v>1</v>
      </c>
      <c r="K6" s="60">
        <v>58</v>
      </c>
      <c r="L6" s="60"/>
      <c r="M6" s="69" t="s">
        <v>668</v>
      </c>
      <c r="N6" s="71"/>
    </row>
    <row r="7" spans="1:15" s="59" customFormat="1" ht="15.75" x14ac:dyDescent="0.25">
      <c r="A7" s="54" t="s">
        <v>33</v>
      </c>
      <c r="B7" s="55"/>
      <c r="C7" s="56"/>
      <c r="D7" s="57"/>
      <c r="E7" s="57"/>
      <c r="F7" s="33"/>
      <c r="G7" s="33"/>
      <c r="H7" s="33"/>
      <c r="I7" s="58">
        <f>F7</f>
        <v>0</v>
      </c>
      <c r="J7" s="60"/>
      <c r="K7" s="60"/>
      <c r="L7" s="60"/>
      <c r="M7" s="69"/>
      <c r="N7" s="71"/>
    </row>
    <row r="8" spans="1:15" s="59" customFormat="1" ht="15.75" x14ac:dyDescent="0.25">
      <c r="A8" s="54" t="s">
        <v>34</v>
      </c>
      <c r="B8" s="55"/>
      <c r="C8" s="56"/>
      <c r="D8" s="57"/>
      <c r="E8" s="57"/>
      <c r="F8" s="33"/>
      <c r="G8" s="33"/>
      <c r="H8" s="33"/>
      <c r="I8" s="58">
        <f>F8</f>
        <v>0</v>
      </c>
      <c r="J8" s="60"/>
      <c r="K8" s="60"/>
      <c r="L8" s="60"/>
      <c r="M8" s="69"/>
      <c r="N8" s="71"/>
    </row>
    <row r="9" spans="1:15" s="12" customFormat="1" ht="20.25" x14ac:dyDescent="0.3">
      <c r="A9" s="819" t="s">
        <v>956</v>
      </c>
      <c r="B9" s="819"/>
      <c r="C9" s="819"/>
      <c r="D9" s="819"/>
      <c r="E9" s="819"/>
      <c r="F9" s="266"/>
      <c r="G9" s="266"/>
      <c r="H9" s="367">
        <f>H6</f>
        <v>4110</v>
      </c>
      <c r="I9" s="266">
        <f>F6-H9</f>
        <v>15410</v>
      </c>
      <c r="J9" s="266">
        <f>J6</f>
        <v>1</v>
      </c>
      <c r="K9" s="266">
        <f>K6</f>
        <v>58</v>
      </c>
      <c r="L9" s="266"/>
      <c r="M9" s="266">
        <f>+H9-K9</f>
        <v>4052</v>
      </c>
      <c r="N9" s="71"/>
    </row>
    <row r="10" spans="1:15" s="12" customFormat="1" ht="15.75" x14ac:dyDescent="0.25">
      <c r="A10" s="417" t="s">
        <v>32</v>
      </c>
      <c r="B10" s="416" t="s">
        <v>958</v>
      </c>
      <c r="C10" s="415"/>
      <c r="D10" s="140" t="s">
        <v>11</v>
      </c>
      <c r="E10" s="140" t="s">
        <v>10</v>
      </c>
      <c r="F10" s="32">
        <v>82780</v>
      </c>
      <c r="G10" s="32"/>
      <c r="H10" s="32">
        <v>82600</v>
      </c>
      <c r="I10" s="414">
        <f>F10-H10</f>
        <v>180</v>
      </c>
      <c r="J10" s="413">
        <v>3</v>
      </c>
      <c r="K10" s="413">
        <f>402+392+200</f>
        <v>994</v>
      </c>
      <c r="L10" s="413"/>
      <c r="M10" s="555" t="s">
        <v>951</v>
      </c>
      <c r="N10" s="71"/>
    </row>
    <row r="11" spans="1:15" s="12" customFormat="1" ht="15.75" x14ac:dyDescent="0.25">
      <c r="A11" s="417" t="s">
        <v>33</v>
      </c>
      <c r="B11" s="543"/>
      <c r="C11" s="415"/>
      <c r="D11" s="140" t="s">
        <v>11</v>
      </c>
      <c r="E11" s="140" t="s">
        <v>10</v>
      </c>
      <c r="F11" s="32"/>
      <c r="G11" s="32"/>
      <c r="H11" s="32"/>
      <c r="I11" s="414">
        <f>F11-H11</f>
        <v>0</v>
      </c>
      <c r="J11" s="413"/>
      <c r="K11" s="413"/>
      <c r="L11" s="413"/>
      <c r="M11" s="412"/>
      <c r="N11" s="71"/>
      <c r="O11" s="22"/>
    </row>
    <row r="12" spans="1:15" s="4" customFormat="1" ht="20.25" x14ac:dyDescent="0.3">
      <c r="A12" s="836" t="s">
        <v>957</v>
      </c>
      <c r="B12" s="837"/>
      <c r="C12" s="837"/>
      <c r="D12" s="837"/>
      <c r="E12" s="838"/>
      <c r="F12" s="544"/>
      <c r="G12" s="544"/>
      <c r="H12" s="545">
        <f>SUM(H10:H11)</f>
        <v>82600</v>
      </c>
      <c r="I12" s="544"/>
      <c r="J12" s="544">
        <f>SUM(J10:J11)</f>
        <v>3</v>
      </c>
      <c r="K12" s="544">
        <f>SUM(K10:K11)</f>
        <v>994</v>
      </c>
      <c r="L12" s="546"/>
      <c r="M12" s="547">
        <f>+H12-K12</f>
        <v>81606</v>
      </c>
    </row>
    <row r="13" spans="1:15" s="59" customFormat="1" ht="15.75" x14ac:dyDescent="0.25">
      <c r="A13" s="54">
        <v>1</v>
      </c>
      <c r="B13" s="55"/>
      <c r="C13" s="56"/>
      <c r="D13" s="57" t="s">
        <v>11</v>
      </c>
      <c r="E13" s="57" t="s">
        <v>10</v>
      </c>
      <c r="F13" s="33"/>
      <c r="G13" s="33"/>
      <c r="H13" s="33"/>
      <c r="I13" s="58">
        <f>F13-H13</f>
        <v>0</v>
      </c>
      <c r="J13" s="60"/>
      <c r="K13" s="60"/>
      <c r="L13" s="60"/>
      <c r="M13" s="199" t="s">
        <v>761</v>
      </c>
      <c r="N13" s="71"/>
    </row>
    <row r="14" spans="1:15" s="59" customFormat="1" ht="15.75" x14ac:dyDescent="0.25">
      <c r="A14" s="54">
        <v>2</v>
      </c>
      <c r="B14" s="55"/>
      <c r="C14" s="56"/>
      <c r="D14" s="57" t="s">
        <v>11</v>
      </c>
      <c r="E14" s="57" t="s">
        <v>10</v>
      </c>
      <c r="F14" s="33"/>
      <c r="G14" s="33"/>
      <c r="H14" s="33"/>
      <c r="I14" s="58">
        <f t="shared" ref="I14:I16" si="0">F14-H14</f>
        <v>0</v>
      </c>
      <c r="J14" s="60"/>
      <c r="K14" s="60"/>
      <c r="L14" s="60"/>
      <c r="M14" s="69"/>
      <c r="N14" s="71"/>
    </row>
    <row r="15" spans="1:15" s="59" customFormat="1" ht="15.75" x14ac:dyDescent="0.25">
      <c r="A15" s="54">
        <v>3</v>
      </c>
      <c r="B15" s="55"/>
      <c r="C15" s="56"/>
      <c r="D15" s="57" t="s">
        <v>11</v>
      </c>
      <c r="E15" s="57" t="s">
        <v>10</v>
      </c>
      <c r="F15" s="33"/>
      <c r="G15" s="33"/>
      <c r="H15" s="33"/>
      <c r="I15" s="58">
        <f t="shared" si="0"/>
        <v>0</v>
      </c>
      <c r="J15" s="60"/>
      <c r="K15" s="60"/>
      <c r="L15" s="60"/>
      <c r="M15" s="69"/>
      <c r="N15" s="71"/>
    </row>
    <row r="16" spans="1:15" s="59" customFormat="1" ht="15.75" x14ac:dyDescent="0.25">
      <c r="A16" s="54">
        <v>4</v>
      </c>
      <c r="B16" s="55"/>
      <c r="C16" s="56"/>
      <c r="D16" s="57" t="s">
        <v>11</v>
      </c>
      <c r="E16" s="57" t="s">
        <v>10</v>
      </c>
      <c r="F16" s="33"/>
      <c r="G16" s="33"/>
      <c r="H16" s="33"/>
      <c r="I16" s="58">
        <f t="shared" si="0"/>
        <v>0</v>
      </c>
      <c r="J16" s="60"/>
      <c r="K16" s="60"/>
      <c r="L16" s="60"/>
      <c r="M16" s="69"/>
      <c r="N16" s="71"/>
    </row>
    <row r="17" spans="1:14" s="59" customFormat="1" ht="25.5" x14ac:dyDescent="0.35">
      <c r="A17" s="836" t="s">
        <v>209</v>
      </c>
      <c r="B17" s="837"/>
      <c r="C17" s="837"/>
      <c r="D17" s="837"/>
      <c r="E17" s="838"/>
      <c r="F17" s="551"/>
      <c r="G17" s="551"/>
      <c r="H17" s="556">
        <f>SUM(H13:H16)</f>
        <v>0</v>
      </c>
      <c r="I17" s="552"/>
      <c r="J17" s="557">
        <f>SUM(J13:J16)</f>
        <v>0</v>
      </c>
      <c r="K17" s="557">
        <f>SUM(K13:K16)</f>
        <v>0</v>
      </c>
      <c r="L17" s="553"/>
      <c r="M17" s="554"/>
      <c r="N17" s="71"/>
    </row>
    <row r="18" spans="1:14" s="4" customFormat="1" ht="20.25" x14ac:dyDescent="0.3">
      <c r="A18" s="833" t="s">
        <v>209</v>
      </c>
      <c r="B18" s="834"/>
      <c r="C18" s="834"/>
      <c r="D18" s="834"/>
      <c r="E18" s="835"/>
      <c r="F18" s="548"/>
      <c r="G18" s="548"/>
      <c r="H18" s="548">
        <f>SUM(H9+H12+H17)</f>
        <v>86710</v>
      </c>
      <c r="I18" s="548"/>
      <c r="J18" s="548">
        <f>SUM(J9+J12+J17)</f>
        <v>4</v>
      </c>
      <c r="K18" s="548">
        <f>SUM(K9+K12+K17)</f>
        <v>1052</v>
      </c>
      <c r="L18" s="549"/>
      <c r="M18" s="550"/>
    </row>
    <row r="19" spans="1:14" x14ac:dyDescent="0.25">
      <c r="F19" s="19"/>
    </row>
    <row r="20" spans="1:14" x14ac:dyDescent="0.25">
      <c r="F20" s="34"/>
      <c r="G20" s="19"/>
      <c r="H20" s="19"/>
      <c r="I20" s="19"/>
      <c r="J20" s="19"/>
      <c r="K20" s="19"/>
      <c r="L20" s="19"/>
    </row>
    <row r="21" spans="1:14" x14ac:dyDescent="0.25">
      <c r="F21" s="19"/>
      <c r="G21" s="19"/>
    </row>
    <row r="22" spans="1:14" s="19" customFormat="1" x14ac:dyDescent="0.25">
      <c r="A22" s="29"/>
      <c r="B22" s="29"/>
      <c r="C22" s="18"/>
      <c r="D22"/>
      <c r="E22"/>
      <c r="F22" s="34"/>
      <c r="G22"/>
      <c r="I22"/>
      <c r="J22"/>
      <c r="K22"/>
      <c r="L22"/>
      <c r="M22"/>
    </row>
    <row r="23" spans="1:14" s="19" customFormat="1" x14ac:dyDescent="0.25">
      <c r="A23" s="29"/>
      <c r="B23" s="29"/>
      <c r="C23" s="18"/>
      <c r="D23"/>
      <c r="E23"/>
      <c r="F23" s="35"/>
      <c r="G23"/>
      <c r="H23"/>
      <c r="I23"/>
      <c r="J23"/>
      <c r="K23"/>
      <c r="L23"/>
      <c r="M23"/>
    </row>
    <row r="24" spans="1:14" s="19" customFormat="1" x14ac:dyDescent="0.25">
      <c r="A24" s="29"/>
      <c r="B24" s="29"/>
      <c r="C24" s="18"/>
      <c r="D24"/>
      <c r="E24"/>
      <c r="G24"/>
      <c r="I24"/>
      <c r="J24"/>
      <c r="K24"/>
      <c r="L24"/>
      <c r="M24"/>
    </row>
    <row r="25" spans="1:14" s="19" customFormat="1" x14ac:dyDescent="0.25">
      <c r="A25" s="29"/>
      <c r="B25" s="29"/>
      <c r="C25" s="18"/>
      <c r="D25"/>
      <c r="E25"/>
      <c r="G25"/>
      <c r="H25"/>
      <c r="I25"/>
      <c r="J25"/>
      <c r="K25"/>
      <c r="L25"/>
      <c r="M25"/>
    </row>
  </sheetData>
  <mergeCells count="8">
    <mergeCell ref="A18:E18"/>
    <mergeCell ref="A1:M1"/>
    <mergeCell ref="J4:J5"/>
    <mergeCell ref="K4:L4"/>
    <mergeCell ref="A9:E9"/>
    <mergeCell ref="A12:E12"/>
    <mergeCell ref="A2:M2"/>
    <mergeCell ref="A17:E17"/>
  </mergeCells>
  <hyperlinks>
    <hyperlink ref="H3" location="'ĐIỀU KHO 1.2'!A18" display="BILL 6853"/>
  </hyperlinks>
  <pageMargins left="0.7" right="0.7" top="0.75" bottom="0.75" header="0.3" footer="0.3"/>
  <pageSetup orientation="portrait" horizontalDpi="180" verticalDpi="18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2"/>
  <sheetViews>
    <sheetView workbookViewId="0">
      <selection activeCell="M14" sqref="M14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945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512"/>
      <c r="B3" s="512"/>
      <c r="C3" s="512"/>
      <c r="D3" s="512"/>
      <c r="E3" s="512"/>
      <c r="F3" s="512"/>
      <c r="G3" s="512" t="s">
        <v>48</v>
      </c>
      <c r="H3" s="73" t="s">
        <v>944</v>
      </c>
      <c r="I3" s="512"/>
      <c r="J3" s="512"/>
      <c r="K3" s="512"/>
      <c r="L3" s="512"/>
      <c r="M3" s="512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511" t="s">
        <v>7</v>
      </c>
      <c r="H4" s="511" t="s">
        <v>8</v>
      </c>
      <c r="I4" s="511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54" t="s">
        <v>32</v>
      </c>
      <c r="B6" s="55" t="s">
        <v>943</v>
      </c>
      <c r="C6" s="56"/>
      <c r="D6" s="57" t="s">
        <v>11</v>
      </c>
      <c r="E6" s="57" t="s">
        <v>10</v>
      </c>
      <c r="F6" s="33">
        <v>84700</v>
      </c>
      <c r="G6" s="33"/>
      <c r="H6" s="33">
        <v>82620</v>
      </c>
      <c r="I6" s="58">
        <f t="shared" ref="I6:I13" si="0">F6-H6</f>
        <v>2080</v>
      </c>
      <c r="J6" s="60">
        <v>3</v>
      </c>
      <c r="K6" s="60">
        <f>222+404+394</f>
        <v>1020</v>
      </c>
      <c r="L6" s="60"/>
      <c r="M6" s="460" t="s">
        <v>946</v>
      </c>
      <c r="N6" s="71"/>
    </row>
    <row r="7" spans="1:14" s="12" customFormat="1" ht="15.75" x14ac:dyDescent="0.25">
      <c r="A7" s="54" t="s">
        <v>33</v>
      </c>
      <c r="B7" s="55"/>
      <c r="C7" s="56"/>
      <c r="D7" s="57" t="s">
        <v>11</v>
      </c>
      <c r="E7" s="57" t="s">
        <v>10</v>
      </c>
      <c r="F7" s="33"/>
      <c r="G7" s="33"/>
      <c r="H7" s="33"/>
      <c r="I7" s="58">
        <f t="shared" si="0"/>
        <v>0</v>
      </c>
      <c r="J7" s="60"/>
      <c r="K7" s="60"/>
      <c r="L7" s="60"/>
      <c r="M7" s="69"/>
      <c r="N7" s="71"/>
    </row>
    <row r="8" spans="1:14" s="12" customFormat="1" ht="15.75" x14ac:dyDescent="0.25">
      <c r="A8" s="54" t="s">
        <v>34</v>
      </c>
      <c r="B8" s="55"/>
      <c r="C8" s="56"/>
      <c r="D8" s="57" t="s">
        <v>11</v>
      </c>
      <c r="E8" s="57" t="s">
        <v>10</v>
      </c>
      <c r="F8" s="33"/>
      <c r="G8" s="33"/>
      <c r="H8" s="33"/>
      <c r="I8" s="58">
        <f t="shared" si="0"/>
        <v>0</v>
      </c>
      <c r="J8" s="60"/>
      <c r="K8" s="60"/>
      <c r="L8" s="60"/>
      <c r="M8" s="69"/>
      <c r="N8" s="71"/>
    </row>
    <row r="9" spans="1:14" s="12" customFormat="1" ht="15.75" x14ac:dyDescent="0.25">
      <c r="A9" s="54" t="s">
        <v>35</v>
      </c>
      <c r="B9" s="515"/>
      <c r="C9" s="56"/>
      <c r="D9" s="57" t="s">
        <v>11</v>
      </c>
      <c r="E9" s="57" t="s">
        <v>10</v>
      </c>
      <c r="F9" s="33"/>
      <c r="G9" s="33"/>
      <c r="H9" s="33"/>
      <c r="I9" s="58">
        <f t="shared" si="0"/>
        <v>0</v>
      </c>
      <c r="J9" s="60"/>
      <c r="K9" s="60"/>
      <c r="L9" s="60"/>
      <c r="M9" s="69"/>
      <c r="N9" s="71"/>
    </row>
    <row r="10" spans="1:14" s="12" customFormat="1" ht="15.75" x14ac:dyDescent="0.25">
      <c r="A10" s="54" t="s">
        <v>36</v>
      </c>
      <c r="B10" s="515"/>
      <c r="C10" s="56"/>
      <c r="D10" s="57" t="s">
        <v>11</v>
      </c>
      <c r="E10" s="57" t="s">
        <v>10</v>
      </c>
      <c r="F10" s="33"/>
      <c r="G10" s="33"/>
      <c r="H10" s="33"/>
      <c r="I10" s="58">
        <f t="shared" si="0"/>
        <v>0</v>
      </c>
      <c r="J10" s="60"/>
      <c r="K10" s="60"/>
      <c r="L10" s="60"/>
      <c r="M10" s="69"/>
      <c r="N10" s="71"/>
    </row>
    <row r="11" spans="1:14" s="12" customFormat="1" ht="15.75" x14ac:dyDescent="0.25">
      <c r="A11" s="54" t="s">
        <v>17</v>
      </c>
      <c r="B11" s="515"/>
      <c r="C11" s="56"/>
      <c r="D11" s="57" t="s">
        <v>11</v>
      </c>
      <c r="E11" s="57" t="s">
        <v>10</v>
      </c>
      <c r="F11" s="33"/>
      <c r="G11" s="33"/>
      <c r="H11" s="33"/>
      <c r="I11" s="58">
        <f t="shared" si="0"/>
        <v>0</v>
      </c>
      <c r="J11" s="60"/>
      <c r="K11" s="60"/>
      <c r="L11" s="60"/>
      <c r="M11" s="69"/>
      <c r="N11" s="71"/>
    </row>
    <row r="12" spans="1:14" s="12" customFormat="1" ht="15.75" x14ac:dyDescent="0.25">
      <c r="A12" s="54" t="s">
        <v>18</v>
      </c>
      <c r="B12" s="515"/>
      <c r="C12" s="56"/>
      <c r="D12" s="57" t="s">
        <v>11</v>
      </c>
      <c r="E12" s="57" t="s">
        <v>10</v>
      </c>
      <c r="F12" s="33"/>
      <c r="G12" s="33"/>
      <c r="H12" s="33"/>
      <c r="I12" s="58">
        <f t="shared" si="0"/>
        <v>0</v>
      </c>
      <c r="J12" s="60"/>
      <c r="K12" s="60"/>
      <c r="L12" s="60"/>
      <c r="M12" s="69"/>
      <c r="N12" s="71"/>
    </row>
    <row r="13" spans="1:14" s="12" customFormat="1" ht="15.75" x14ac:dyDescent="0.25">
      <c r="A13" s="54" t="s">
        <v>19</v>
      </c>
      <c r="B13" s="55"/>
      <c r="C13" s="56"/>
      <c r="D13" s="57" t="s">
        <v>11</v>
      </c>
      <c r="E13" s="57" t="s">
        <v>10</v>
      </c>
      <c r="F13" s="33"/>
      <c r="G13" s="33"/>
      <c r="H13" s="33"/>
      <c r="I13" s="58">
        <f t="shared" si="0"/>
        <v>0</v>
      </c>
      <c r="J13" s="60"/>
      <c r="K13" s="60"/>
      <c r="L13" s="60"/>
      <c r="M13" s="69"/>
      <c r="N13" s="71"/>
    </row>
    <row r="14" spans="1:14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82620</v>
      </c>
      <c r="I14" s="260">
        <f>F6-H14</f>
        <v>2080</v>
      </c>
      <c r="J14" s="260">
        <f>SUM(J6:J13)</f>
        <v>3</v>
      </c>
      <c r="K14" s="260">
        <f>SUM(K6:K13)</f>
        <v>1020</v>
      </c>
      <c r="L14" s="261"/>
      <c r="M14" s="262">
        <f>+H14-K14</f>
        <v>81600</v>
      </c>
    </row>
    <row r="15" spans="1:14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3"/>
    </row>
    <row r="16" spans="1:14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2.2'!A11" display="BILL 1026"/>
  </hyperlinks>
  <pageMargins left="0.7" right="0.7" top="0.75" bottom="0.75" header="0.3" footer="0.3"/>
  <pageSetup orientation="portrait" horizontalDpi="180" verticalDpi="18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2"/>
  <sheetViews>
    <sheetView workbookViewId="0">
      <selection sqref="A1:M1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927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495"/>
      <c r="B3" s="495"/>
      <c r="C3" s="495"/>
      <c r="D3" s="495"/>
      <c r="E3" s="495"/>
      <c r="F3" s="495"/>
      <c r="G3" s="495" t="s">
        <v>48</v>
      </c>
      <c r="H3" s="73" t="s">
        <v>925</v>
      </c>
      <c r="I3" s="495"/>
      <c r="J3" s="495"/>
      <c r="K3" s="495"/>
      <c r="L3" s="495"/>
      <c r="M3" s="495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494" t="s">
        <v>7</v>
      </c>
      <c r="H4" s="494" t="s">
        <v>8</v>
      </c>
      <c r="I4" s="494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54" t="s">
        <v>32</v>
      </c>
      <c r="B6" s="55" t="s">
        <v>926</v>
      </c>
      <c r="C6" s="56"/>
      <c r="D6" s="57" t="s">
        <v>11</v>
      </c>
      <c r="E6" s="57" t="s">
        <v>10</v>
      </c>
      <c r="F6" s="175">
        <v>269860</v>
      </c>
      <c r="G6" s="33"/>
      <c r="H6" s="14">
        <v>135930</v>
      </c>
      <c r="I6" s="58">
        <f t="shared" ref="I6:I13" si="0">F6-H6</f>
        <v>133930</v>
      </c>
      <c r="J6" s="60">
        <v>4</v>
      </c>
      <c r="K6" s="60">
        <f>396+403+426+410</f>
        <v>1635</v>
      </c>
      <c r="L6" s="22"/>
      <c r="M6" s="460" t="s">
        <v>928</v>
      </c>
      <c r="N6" s="71"/>
    </row>
    <row r="7" spans="1:14" s="12" customFormat="1" ht="15.75" x14ac:dyDescent="0.25">
      <c r="A7" s="28" t="s">
        <v>33</v>
      </c>
      <c r="B7" s="55" t="s">
        <v>926</v>
      </c>
      <c r="C7" s="17"/>
      <c r="D7" s="57" t="s">
        <v>11</v>
      </c>
      <c r="E7" s="57" t="s">
        <v>10</v>
      </c>
      <c r="F7" s="175">
        <f>I6</f>
        <v>133930</v>
      </c>
      <c r="G7" s="14"/>
      <c r="H7" s="14">
        <v>128500</v>
      </c>
      <c r="I7" s="58">
        <f t="shared" si="0"/>
        <v>5430</v>
      </c>
      <c r="J7" s="22">
        <v>4</v>
      </c>
      <c r="K7" s="22">
        <f>398+410+419+321</f>
        <v>1548</v>
      </c>
      <c r="L7" s="22"/>
      <c r="M7" s="69"/>
      <c r="N7" s="71"/>
    </row>
    <row r="8" spans="1:14" s="12" customFormat="1" ht="15.75" x14ac:dyDescent="0.25">
      <c r="A8" s="28" t="s">
        <v>34</v>
      </c>
      <c r="B8" s="55"/>
      <c r="C8" s="17"/>
      <c r="D8" s="57" t="s">
        <v>11</v>
      </c>
      <c r="E8" s="57" t="s">
        <v>10</v>
      </c>
      <c r="F8" s="175"/>
      <c r="G8" s="14"/>
      <c r="H8" s="14"/>
      <c r="I8" s="58">
        <f t="shared" si="0"/>
        <v>0</v>
      </c>
      <c r="J8" s="22"/>
      <c r="K8" s="22"/>
      <c r="L8" s="22"/>
      <c r="M8" s="69"/>
      <c r="N8" s="71"/>
    </row>
    <row r="9" spans="1:14" s="12" customFormat="1" ht="15.75" x14ac:dyDescent="0.25">
      <c r="A9" s="28" t="s">
        <v>35</v>
      </c>
      <c r="B9" s="181"/>
      <c r="C9" s="17"/>
      <c r="D9" s="57" t="s">
        <v>11</v>
      </c>
      <c r="E9" s="57" t="s">
        <v>10</v>
      </c>
      <c r="F9" s="175"/>
      <c r="G9" s="14"/>
      <c r="H9" s="14"/>
      <c r="I9" s="58">
        <f t="shared" si="0"/>
        <v>0</v>
      </c>
      <c r="J9" s="22"/>
      <c r="K9" s="22"/>
      <c r="L9" s="22"/>
      <c r="M9" s="69"/>
      <c r="N9" s="71"/>
    </row>
    <row r="10" spans="1:14" s="12" customFormat="1" ht="15.75" x14ac:dyDescent="0.25">
      <c r="A10" s="28" t="s">
        <v>36</v>
      </c>
      <c r="B10" s="181"/>
      <c r="C10" s="17"/>
      <c r="D10" s="57" t="s">
        <v>11</v>
      </c>
      <c r="E10" s="57" t="s">
        <v>10</v>
      </c>
      <c r="F10" s="33"/>
      <c r="G10" s="14"/>
      <c r="H10" s="14"/>
      <c r="I10" s="58">
        <f t="shared" si="0"/>
        <v>0</v>
      </c>
      <c r="J10" s="22"/>
      <c r="K10" s="22"/>
      <c r="L10" s="22"/>
      <c r="M10" s="69"/>
      <c r="N10" s="71"/>
    </row>
    <row r="11" spans="1:14" s="12" customFormat="1" ht="15.75" x14ac:dyDescent="0.25">
      <c r="A11" s="28" t="s">
        <v>17</v>
      </c>
      <c r="B11" s="181"/>
      <c r="C11" s="17"/>
      <c r="D11" s="57" t="s">
        <v>11</v>
      </c>
      <c r="E11" s="57" t="s">
        <v>10</v>
      </c>
      <c r="F11" s="33"/>
      <c r="G11" s="14"/>
      <c r="H11" s="14"/>
      <c r="I11" s="58">
        <f t="shared" si="0"/>
        <v>0</v>
      </c>
      <c r="J11" s="22"/>
      <c r="K11" s="22"/>
      <c r="L11" s="22"/>
      <c r="M11" s="69"/>
      <c r="N11" s="71"/>
    </row>
    <row r="12" spans="1:14" s="12" customFormat="1" ht="15.75" x14ac:dyDescent="0.25">
      <c r="A12" s="28" t="s">
        <v>18</v>
      </c>
      <c r="B12" s="181"/>
      <c r="C12" s="17"/>
      <c r="D12" s="57" t="s">
        <v>11</v>
      </c>
      <c r="E12" s="57" t="s">
        <v>10</v>
      </c>
      <c r="F12" s="33"/>
      <c r="G12" s="14"/>
      <c r="H12" s="14"/>
      <c r="I12" s="58">
        <f t="shared" si="0"/>
        <v>0</v>
      </c>
      <c r="J12" s="22"/>
      <c r="K12" s="22"/>
      <c r="L12" s="22"/>
      <c r="M12" s="69"/>
      <c r="N12" s="71"/>
    </row>
    <row r="13" spans="1:14" s="12" customFormat="1" ht="15.75" x14ac:dyDescent="0.25">
      <c r="A13" s="28" t="s">
        <v>19</v>
      </c>
      <c r="B13" s="30"/>
      <c r="C13" s="17"/>
      <c r="D13" s="57" t="s">
        <v>11</v>
      </c>
      <c r="E13" s="57" t="s">
        <v>10</v>
      </c>
      <c r="F13" s="33"/>
      <c r="G13" s="14"/>
      <c r="H13" s="14"/>
      <c r="I13" s="58">
        <f t="shared" si="0"/>
        <v>0</v>
      </c>
      <c r="J13" s="22"/>
      <c r="K13" s="22"/>
      <c r="L13" s="22"/>
      <c r="M13" s="69"/>
      <c r="N13" s="71"/>
    </row>
    <row r="14" spans="1:14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264430</v>
      </c>
      <c r="I14" s="260">
        <f>F6-H14</f>
        <v>5430</v>
      </c>
      <c r="J14" s="260">
        <f>SUM(J6:J13)</f>
        <v>8</v>
      </c>
      <c r="K14" s="260">
        <f>SUM(K6:K13)</f>
        <v>3183</v>
      </c>
      <c r="L14" s="261"/>
      <c r="M14" s="262">
        <f>+H14-K14</f>
        <v>261247</v>
      </c>
    </row>
    <row r="15" spans="1:14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3"/>
    </row>
    <row r="16" spans="1:14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1.2'!A36" display="BILL 9860"/>
  </hyperlinks>
  <pageMargins left="0.7" right="0.7" top="0.75" bottom="0.75" header="0.3" footer="0.3"/>
  <pageSetup orientation="portrait" horizontalDpi="180" verticalDpi="18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2"/>
  <sheetViews>
    <sheetView topLeftCell="A4" zoomScale="96" zoomScaleNormal="96" workbookViewId="0">
      <selection activeCell="K9" sqref="K9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911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471"/>
      <c r="B3" s="471"/>
      <c r="C3" s="471"/>
      <c r="D3" s="471"/>
      <c r="E3" s="471"/>
      <c r="F3" s="471"/>
      <c r="G3" s="471" t="s">
        <v>48</v>
      </c>
      <c r="H3" s="73" t="s">
        <v>910</v>
      </c>
      <c r="I3" s="471"/>
      <c r="J3" s="471"/>
      <c r="K3" s="471"/>
      <c r="L3" s="471"/>
      <c r="M3" s="471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470" t="s">
        <v>7</v>
      </c>
      <c r="H4" s="470" t="s">
        <v>8</v>
      </c>
      <c r="I4" s="470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54" t="s">
        <v>32</v>
      </c>
      <c r="B6" s="55" t="s">
        <v>916</v>
      </c>
      <c r="C6" s="56"/>
      <c r="D6" s="57" t="s">
        <v>11</v>
      </c>
      <c r="E6" s="57" t="s">
        <v>10</v>
      </c>
      <c r="F6" s="175">
        <v>260280</v>
      </c>
      <c r="G6" s="33"/>
      <c r="H6" s="14">
        <v>78820</v>
      </c>
      <c r="I6" s="58">
        <f t="shared" ref="I6:I13" si="0">F6-H6</f>
        <v>181460</v>
      </c>
      <c r="J6" s="60">
        <v>3</v>
      </c>
      <c r="K6" s="60">
        <f>392+389+203</f>
        <v>984</v>
      </c>
      <c r="L6" s="22"/>
      <c r="M6" s="460" t="s">
        <v>912</v>
      </c>
      <c r="N6" s="71"/>
    </row>
    <row r="7" spans="1:14" s="12" customFormat="1" ht="15.75" x14ac:dyDescent="0.25">
      <c r="A7" s="28" t="s">
        <v>33</v>
      </c>
      <c r="B7" s="55" t="s">
        <v>923</v>
      </c>
      <c r="C7" s="17"/>
      <c r="D7" s="57" t="s">
        <v>11</v>
      </c>
      <c r="E7" s="57" t="s">
        <v>10</v>
      </c>
      <c r="F7" s="175">
        <f>I6</f>
        <v>181460</v>
      </c>
      <c r="G7" s="14"/>
      <c r="H7" s="14">
        <v>92440</v>
      </c>
      <c r="I7" s="58">
        <f t="shared" si="0"/>
        <v>89020</v>
      </c>
      <c r="J7" s="22">
        <v>3</v>
      </c>
      <c r="K7" s="22">
        <f>397+390+367</f>
        <v>1154</v>
      </c>
      <c r="L7" s="22"/>
      <c r="M7" s="69"/>
      <c r="N7" s="71"/>
    </row>
    <row r="8" spans="1:14" s="12" customFormat="1" ht="15.75" x14ac:dyDescent="0.25">
      <c r="A8" s="28" t="s">
        <v>34</v>
      </c>
      <c r="B8" s="55" t="s">
        <v>924</v>
      </c>
      <c r="C8" s="17"/>
      <c r="D8" s="57" t="s">
        <v>11</v>
      </c>
      <c r="E8" s="57" t="s">
        <v>10</v>
      </c>
      <c r="F8" s="175">
        <f>I7</f>
        <v>89020</v>
      </c>
      <c r="G8" s="14"/>
      <c r="H8" s="14">
        <v>83040</v>
      </c>
      <c r="I8" s="58">
        <f t="shared" si="0"/>
        <v>5980</v>
      </c>
      <c r="J8" s="22">
        <v>3</v>
      </c>
      <c r="K8" s="22">
        <f>404+363+269</f>
        <v>1036</v>
      </c>
      <c r="L8" s="22"/>
      <c r="M8" s="69"/>
      <c r="N8" s="71"/>
    </row>
    <row r="9" spans="1:14" s="12" customFormat="1" ht="15.75" x14ac:dyDescent="0.25">
      <c r="A9" s="28" t="s">
        <v>35</v>
      </c>
      <c r="B9" s="181"/>
      <c r="C9" s="17"/>
      <c r="D9" s="57" t="s">
        <v>11</v>
      </c>
      <c r="E9" s="57" t="s">
        <v>10</v>
      </c>
      <c r="F9" s="175"/>
      <c r="G9" s="14"/>
      <c r="H9" s="14"/>
      <c r="I9" s="58">
        <f t="shared" si="0"/>
        <v>0</v>
      </c>
      <c r="J9" s="22"/>
      <c r="K9" s="22"/>
      <c r="L9" s="22"/>
      <c r="M9" s="69"/>
      <c r="N9" s="71"/>
    </row>
    <row r="10" spans="1:14" s="12" customFormat="1" ht="15.75" x14ac:dyDescent="0.25">
      <c r="A10" s="28" t="s">
        <v>36</v>
      </c>
      <c r="B10" s="181"/>
      <c r="C10" s="17"/>
      <c r="D10" s="57" t="s">
        <v>11</v>
      </c>
      <c r="E10" s="57" t="s">
        <v>10</v>
      </c>
      <c r="F10" s="33"/>
      <c r="G10" s="14"/>
      <c r="H10" s="14"/>
      <c r="I10" s="58">
        <f t="shared" si="0"/>
        <v>0</v>
      </c>
      <c r="J10" s="22"/>
      <c r="K10" s="22"/>
      <c r="L10" s="22"/>
      <c r="M10" s="69"/>
      <c r="N10" s="71"/>
    </row>
    <row r="11" spans="1:14" s="12" customFormat="1" ht="15.75" x14ac:dyDescent="0.25">
      <c r="A11" s="28" t="s">
        <v>17</v>
      </c>
      <c r="B11" s="181"/>
      <c r="C11" s="17"/>
      <c r="D11" s="57" t="s">
        <v>11</v>
      </c>
      <c r="E11" s="57" t="s">
        <v>10</v>
      </c>
      <c r="F11" s="33"/>
      <c r="G11" s="14"/>
      <c r="H11" s="14"/>
      <c r="I11" s="58">
        <f t="shared" si="0"/>
        <v>0</v>
      </c>
      <c r="J11" s="22"/>
      <c r="K11" s="22"/>
      <c r="L11" s="22"/>
      <c r="M11" s="69"/>
      <c r="N11" s="71"/>
    </row>
    <row r="12" spans="1:14" s="12" customFormat="1" ht="15.75" x14ac:dyDescent="0.25">
      <c r="A12" s="28" t="s">
        <v>18</v>
      </c>
      <c r="B12" s="181"/>
      <c r="C12" s="17"/>
      <c r="D12" s="57" t="s">
        <v>11</v>
      </c>
      <c r="E12" s="57" t="s">
        <v>10</v>
      </c>
      <c r="F12" s="33"/>
      <c r="G12" s="14"/>
      <c r="H12" s="14"/>
      <c r="I12" s="58">
        <f t="shared" si="0"/>
        <v>0</v>
      </c>
      <c r="J12" s="22"/>
      <c r="K12" s="22"/>
      <c r="L12" s="22"/>
      <c r="M12" s="69"/>
      <c r="N12" s="71"/>
    </row>
    <row r="13" spans="1:14" s="12" customFormat="1" ht="15.75" x14ac:dyDescent="0.25">
      <c r="A13" s="28" t="s">
        <v>19</v>
      </c>
      <c r="B13" s="30"/>
      <c r="C13" s="17"/>
      <c r="D13" s="57" t="s">
        <v>11</v>
      </c>
      <c r="E13" s="57" t="s">
        <v>10</v>
      </c>
      <c r="F13" s="33"/>
      <c r="G13" s="14"/>
      <c r="H13" s="14"/>
      <c r="I13" s="58">
        <f t="shared" si="0"/>
        <v>0</v>
      </c>
      <c r="J13" s="22"/>
      <c r="K13" s="22"/>
      <c r="L13" s="22"/>
      <c r="M13" s="69"/>
      <c r="N13" s="71"/>
    </row>
    <row r="14" spans="1:14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254300</v>
      </c>
      <c r="I14" s="260">
        <f>F6-H14</f>
        <v>5980</v>
      </c>
      <c r="J14" s="260">
        <f>SUM(J6:J13)</f>
        <v>9</v>
      </c>
      <c r="K14" s="260">
        <f>SUM(K6:K13)</f>
        <v>3174</v>
      </c>
      <c r="L14" s="261"/>
      <c r="M14" s="262">
        <f>+H14-K14</f>
        <v>251126</v>
      </c>
    </row>
    <row r="15" spans="1:14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3"/>
    </row>
    <row r="16" spans="1:14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2.1'!A32" display="BILL 4370B"/>
  </hyperlinks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32"/>
  <sheetViews>
    <sheetView showGridLines="0" topLeftCell="A4" zoomScaleNormal="100" workbookViewId="0">
      <pane xSplit="3" ySplit="2" topLeftCell="E6" activePane="bottomRight" state="frozen"/>
      <selection activeCell="A4" sqref="A4"/>
      <selection pane="topRight" activeCell="D4" sqref="D4"/>
      <selection pane="bottomLeft" activeCell="A6" sqref="A6"/>
      <selection pane="bottomRight" activeCell="C18" sqref="C18"/>
    </sheetView>
  </sheetViews>
  <sheetFormatPr defaultRowHeight="15.75" x14ac:dyDescent="0.25"/>
  <cols>
    <col min="1" max="1" width="4.7109375" style="29" customWidth="1"/>
    <col min="2" max="2" width="9.28515625" style="29" customWidth="1"/>
    <col min="3" max="3" width="34.5703125" style="15" customWidth="1"/>
    <col min="4" max="4" width="6.5703125" style="29" customWidth="1"/>
    <col min="5" max="5" width="17.5703125" style="206" customWidth="1"/>
    <col min="6" max="6" width="6.140625" style="206" customWidth="1"/>
    <col min="7" max="7" width="16.28515625" style="34" bestFit="1" customWidth="1"/>
    <col min="8" max="8" width="19.140625" style="116" customWidth="1"/>
    <col min="9" max="9" width="10.5703125" style="19" customWidth="1"/>
    <col min="10" max="10" width="11" style="19" customWidth="1"/>
    <col min="11" max="11" width="12.140625" style="19" customWidth="1"/>
    <col min="12" max="12" width="14.85546875" style="19" bestFit="1" customWidth="1"/>
    <col min="13" max="13" width="17.5703125" style="19" customWidth="1"/>
    <col min="14" max="14" width="19.28515625" customWidth="1"/>
    <col min="15" max="15" width="17.42578125" customWidth="1"/>
  </cols>
  <sheetData>
    <row r="1" spans="1:15" ht="34.5" x14ac:dyDescent="0.45">
      <c r="A1" s="745" t="s">
        <v>63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1:15" ht="17.25" x14ac:dyDescent="0.3">
      <c r="L2" s="75" t="s">
        <v>62</v>
      </c>
      <c r="M2" s="76">
        <f ca="1">TODAY()</f>
        <v>44848</v>
      </c>
    </row>
    <row r="3" spans="1:15" s="52" customFormat="1" x14ac:dyDescent="0.25">
      <c r="A3" s="45"/>
      <c r="B3" s="45"/>
      <c r="C3" s="46"/>
      <c r="D3" s="45"/>
      <c r="E3" s="296" t="s">
        <v>43</v>
      </c>
      <c r="F3" s="294"/>
      <c r="G3" s="324"/>
      <c r="H3" s="48" t="s">
        <v>111</v>
      </c>
      <c r="I3" s="49" t="s">
        <v>110</v>
      </c>
      <c r="J3" s="50"/>
      <c r="K3" s="49"/>
      <c r="L3" s="51"/>
    </row>
    <row r="4" spans="1:15" s="1" customFormat="1" ht="48.75" customHeight="1" x14ac:dyDescent="0.3">
      <c r="A4" s="746" t="s">
        <v>0</v>
      </c>
      <c r="B4" s="748" t="s">
        <v>37</v>
      </c>
      <c r="C4" s="750" t="s">
        <v>39</v>
      </c>
      <c r="D4" s="609" t="s">
        <v>64</v>
      </c>
      <c r="E4" s="612" t="s">
        <v>3</v>
      </c>
      <c r="F4" s="612" t="s">
        <v>4</v>
      </c>
      <c r="G4" s="308" t="s">
        <v>743</v>
      </c>
      <c r="H4" s="135" t="s">
        <v>6</v>
      </c>
      <c r="I4" s="752" t="s">
        <v>7</v>
      </c>
      <c r="J4" s="753"/>
      <c r="K4" s="752" t="s">
        <v>8</v>
      </c>
      <c r="L4" s="753"/>
      <c r="M4" s="611" t="s">
        <v>55</v>
      </c>
      <c r="N4" s="7" t="s">
        <v>1</v>
      </c>
      <c r="O4" s="62" t="s">
        <v>9</v>
      </c>
    </row>
    <row r="5" spans="1:15" s="1" customFormat="1" ht="24" customHeight="1" x14ac:dyDescent="0.3">
      <c r="A5" s="747"/>
      <c r="B5" s="749"/>
      <c r="C5" s="751"/>
      <c r="D5" s="610"/>
      <c r="E5" s="613"/>
      <c r="F5" s="613"/>
      <c r="G5" s="325" t="s">
        <v>13</v>
      </c>
      <c r="H5" s="21" t="s">
        <v>13</v>
      </c>
      <c r="I5" s="21" t="s">
        <v>51</v>
      </c>
      <c r="J5" s="21" t="s">
        <v>53</v>
      </c>
      <c r="K5" s="21" t="s">
        <v>51</v>
      </c>
      <c r="L5" s="21" t="s">
        <v>52</v>
      </c>
      <c r="M5" s="21" t="s">
        <v>13</v>
      </c>
      <c r="N5" s="7"/>
      <c r="O5" s="64" t="s">
        <v>13</v>
      </c>
    </row>
    <row r="6" spans="1:15" s="3" customFormat="1" x14ac:dyDescent="0.25">
      <c r="A6" s="28" t="s">
        <v>32</v>
      </c>
      <c r="B6" s="31" t="s">
        <v>982</v>
      </c>
      <c r="C6" s="8" t="s">
        <v>983</v>
      </c>
      <c r="D6" s="305" t="s">
        <v>984</v>
      </c>
      <c r="E6" s="295" t="s">
        <v>967</v>
      </c>
      <c r="F6" s="295" t="s">
        <v>10</v>
      </c>
      <c r="G6" s="326">
        <v>12729396</v>
      </c>
      <c r="H6" s="627">
        <f>676530+1791690+1198060+1805730+2037550+4191730+1012470+15280</f>
        <v>12729040</v>
      </c>
      <c r="I6" s="143"/>
      <c r="J6" s="14"/>
      <c r="K6" s="5"/>
      <c r="L6" s="5"/>
      <c r="M6" s="14">
        <f>H6+J6-L6</f>
        <v>12729040</v>
      </c>
      <c r="N6" s="274"/>
      <c r="O6" s="14">
        <f t="shared" ref="O6:O11" si="0">H6+(I6+J6)-(K6+L6)</f>
        <v>12729040</v>
      </c>
    </row>
    <row r="7" spans="1:15" s="3" customFormat="1" x14ac:dyDescent="0.25">
      <c r="A7" s="28" t="s">
        <v>33</v>
      </c>
      <c r="B7" s="31" t="s">
        <v>1001</v>
      </c>
      <c r="C7" s="8" t="s">
        <v>985</v>
      </c>
      <c r="D7" s="305" t="s">
        <v>984</v>
      </c>
      <c r="E7" s="295" t="s">
        <v>967</v>
      </c>
      <c r="F7" s="295" t="s">
        <v>10</v>
      </c>
      <c r="G7" s="614">
        <v>8274107</v>
      </c>
      <c r="H7" s="32">
        <f>499450+759580+1564430+1601930+644440+830010+1050640+1322790</f>
        <v>8273270</v>
      </c>
      <c r="I7" s="176"/>
      <c r="J7" s="151"/>
      <c r="K7" s="177"/>
      <c r="L7" s="5"/>
      <c r="M7" s="14">
        <f>H7+I7-L7</f>
        <v>8273270</v>
      </c>
      <c r="N7" s="274"/>
      <c r="O7" s="14">
        <f t="shared" si="0"/>
        <v>8273270</v>
      </c>
    </row>
    <row r="8" spans="1:15" s="3" customFormat="1" x14ac:dyDescent="0.25">
      <c r="A8" s="28" t="s">
        <v>34</v>
      </c>
      <c r="B8" s="31" t="s">
        <v>1002</v>
      </c>
      <c r="C8" s="8" t="s">
        <v>986</v>
      </c>
      <c r="D8" s="305" t="s">
        <v>984</v>
      </c>
      <c r="E8" s="295" t="s">
        <v>967</v>
      </c>
      <c r="F8" s="295" t="s">
        <v>10</v>
      </c>
      <c r="G8" s="614">
        <v>7085294</v>
      </c>
      <c r="H8" s="32">
        <f>628410+16650+1365780+1367980+1899730+1800720</f>
        <v>7079270</v>
      </c>
      <c r="I8" s="176"/>
      <c r="J8" s="151"/>
      <c r="K8" s="177"/>
      <c r="L8" s="5"/>
      <c r="M8" s="14">
        <f>H8+I8-L8</f>
        <v>7079270</v>
      </c>
      <c r="N8" s="274"/>
      <c r="O8" s="14">
        <f t="shared" si="0"/>
        <v>7079270</v>
      </c>
    </row>
    <row r="9" spans="1:15" s="3" customFormat="1" x14ac:dyDescent="0.25">
      <c r="A9" s="28" t="s">
        <v>35</v>
      </c>
      <c r="B9" s="31" t="s">
        <v>1003</v>
      </c>
      <c r="C9" s="8" t="s">
        <v>987</v>
      </c>
      <c r="D9" s="305" t="s">
        <v>984</v>
      </c>
      <c r="E9" s="295" t="s">
        <v>967</v>
      </c>
      <c r="F9" s="295" t="s">
        <v>10</v>
      </c>
      <c r="G9" s="614">
        <v>1771324</v>
      </c>
      <c r="H9" s="32">
        <f>172360+1598780</f>
        <v>1771140</v>
      </c>
      <c r="I9" s="177"/>
      <c r="J9" s="10"/>
      <c r="K9" s="5"/>
      <c r="L9" s="5"/>
      <c r="M9" s="14">
        <f t="shared" ref="M9:M12" si="1">H9+J9-L9</f>
        <v>1771140</v>
      </c>
      <c r="N9" s="274"/>
      <c r="O9" s="14">
        <f t="shared" si="0"/>
        <v>1771140</v>
      </c>
    </row>
    <row r="10" spans="1:15" s="3" customFormat="1" x14ac:dyDescent="0.25">
      <c r="A10" s="28" t="s">
        <v>36</v>
      </c>
      <c r="B10" s="31"/>
      <c r="C10" s="8"/>
      <c r="D10" s="305"/>
      <c r="E10" s="295" t="s">
        <v>967</v>
      </c>
      <c r="F10" s="295" t="s">
        <v>10</v>
      </c>
      <c r="G10" s="326"/>
      <c r="H10" s="33"/>
      <c r="I10" s="177"/>
      <c r="J10" s="14"/>
      <c r="K10" s="5"/>
      <c r="L10" s="5"/>
      <c r="M10" s="14">
        <f t="shared" si="1"/>
        <v>0</v>
      </c>
      <c r="N10" s="274"/>
      <c r="O10" s="14">
        <f t="shared" si="0"/>
        <v>0</v>
      </c>
    </row>
    <row r="11" spans="1:15" s="3" customFormat="1" x14ac:dyDescent="0.25">
      <c r="A11" s="28" t="s">
        <v>17</v>
      </c>
      <c r="B11" s="31"/>
      <c r="C11" s="8"/>
      <c r="D11" s="305"/>
      <c r="E11" s="295" t="s">
        <v>967</v>
      </c>
      <c r="F11" s="295" t="s">
        <v>10</v>
      </c>
      <c r="G11" s="326"/>
      <c r="H11" s="33"/>
      <c r="I11" s="177"/>
      <c r="J11" s="14"/>
      <c r="K11" s="5"/>
      <c r="L11" s="5"/>
      <c r="M11" s="14">
        <f t="shared" si="1"/>
        <v>0</v>
      </c>
      <c r="N11" s="274"/>
      <c r="O11" s="14">
        <f t="shared" si="0"/>
        <v>0</v>
      </c>
    </row>
    <row r="12" spans="1:15" s="3" customFormat="1" x14ac:dyDescent="0.25">
      <c r="A12" s="28" t="s">
        <v>18</v>
      </c>
      <c r="B12" s="31"/>
      <c r="C12" s="8"/>
      <c r="D12" s="305"/>
      <c r="E12" s="295" t="s">
        <v>967</v>
      </c>
      <c r="F12" s="295" t="s">
        <v>10</v>
      </c>
      <c r="G12" s="326"/>
      <c r="H12" s="33"/>
      <c r="I12" s="177"/>
      <c r="J12" s="14"/>
      <c r="K12" s="5"/>
      <c r="L12" s="5"/>
      <c r="M12" s="14">
        <f t="shared" si="1"/>
        <v>0</v>
      </c>
      <c r="N12" s="319"/>
      <c r="O12" s="14">
        <f>H12+(I12+J12)-(K12+L12)</f>
        <v>0</v>
      </c>
    </row>
    <row r="13" spans="1:15" s="3" customFormat="1" ht="20.25" x14ac:dyDescent="0.3">
      <c r="A13" s="742" t="s">
        <v>5</v>
      </c>
      <c r="B13" s="743"/>
      <c r="C13" s="743"/>
      <c r="D13" s="743"/>
      <c r="E13" s="743"/>
      <c r="F13" s="744"/>
      <c r="G13" s="328">
        <f t="shared" ref="G13:M13" si="2">SUM(G6:G12)</f>
        <v>29860121</v>
      </c>
      <c r="H13" s="132">
        <f t="shared" si="2"/>
        <v>29852720</v>
      </c>
      <c r="I13" s="2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6">
        <f t="shared" si="2"/>
        <v>29852720</v>
      </c>
      <c r="N13" s="275"/>
      <c r="O13" s="68">
        <f>SUM(O6:O12)</f>
        <v>29852720</v>
      </c>
    </row>
    <row r="14" spans="1:15" s="3" customFormat="1" x14ac:dyDescent="0.25">
      <c r="A14" s="29"/>
      <c r="B14" s="29"/>
      <c r="C14" s="15"/>
      <c r="D14" s="29"/>
      <c r="E14" s="206"/>
      <c r="F14" s="206"/>
      <c r="G14" s="34"/>
      <c r="H14" s="116"/>
      <c r="I14" s="19"/>
      <c r="J14" s="19"/>
      <c r="K14" s="19"/>
      <c r="L14" s="19"/>
      <c r="M14" s="19"/>
      <c r="N14"/>
      <c r="O14"/>
    </row>
    <row r="15" spans="1:15" s="3" customFormat="1" x14ac:dyDescent="0.25">
      <c r="A15" s="29"/>
      <c r="B15" s="29"/>
      <c r="C15" s="15"/>
      <c r="D15" s="29"/>
      <c r="E15" s="206"/>
      <c r="F15" s="206"/>
      <c r="G15" s="34"/>
      <c r="H15" s="116"/>
      <c r="I15" s="19"/>
      <c r="J15" s="19"/>
      <c r="K15" s="19"/>
      <c r="L15" s="19"/>
      <c r="M15" s="19"/>
      <c r="N15"/>
      <c r="O15"/>
    </row>
    <row r="16" spans="1:15" s="3" customFormat="1" x14ac:dyDescent="0.25">
      <c r="A16" s="29"/>
      <c r="B16" s="29"/>
      <c r="C16" s="15"/>
      <c r="D16" s="29"/>
      <c r="E16" s="206"/>
      <c r="F16" s="206"/>
      <c r="G16" s="34"/>
      <c r="H16" s="116"/>
      <c r="I16" s="19"/>
      <c r="J16" s="19"/>
      <c r="K16" s="19"/>
      <c r="L16" s="19"/>
      <c r="M16" s="19"/>
      <c r="N16"/>
      <c r="O16"/>
    </row>
    <row r="17" spans="1:15" s="3" customFormat="1" x14ac:dyDescent="0.25">
      <c r="A17" s="29"/>
      <c r="B17" s="29"/>
      <c r="C17" s="15"/>
      <c r="D17" s="29"/>
      <c r="E17" s="206"/>
      <c r="F17" s="206"/>
      <c r="G17" s="34"/>
      <c r="H17" s="116"/>
      <c r="I17" s="19"/>
      <c r="J17" s="19"/>
      <c r="K17" s="19"/>
      <c r="L17" s="19"/>
      <c r="M17" s="19"/>
      <c r="N17"/>
      <c r="O17"/>
    </row>
    <row r="18" spans="1:15" s="3" customFormat="1" x14ac:dyDescent="0.25">
      <c r="A18" s="29"/>
      <c r="B18" s="29"/>
      <c r="C18" s="15"/>
      <c r="D18" s="29"/>
      <c r="E18" s="206"/>
      <c r="F18" s="206"/>
      <c r="G18" s="34"/>
      <c r="H18" s="116"/>
      <c r="I18" s="19"/>
      <c r="J18" s="19"/>
      <c r="K18" s="19"/>
      <c r="L18" s="19"/>
      <c r="M18" s="19"/>
      <c r="N18"/>
      <c r="O18"/>
    </row>
    <row r="19" spans="1:15" s="3" customFormat="1" x14ac:dyDescent="0.25">
      <c r="A19" s="29"/>
      <c r="B19" s="29"/>
      <c r="C19" s="15"/>
      <c r="D19" s="29"/>
      <c r="E19" s="206"/>
      <c r="F19" s="206"/>
      <c r="G19" s="34"/>
      <c r="H19" s="116"/>
      <c r="I19" s="19"/>
      <c r="J19" s="19"/>
      <c r="K19" s="19"/>
      <c r="L19" s="19"/>
      <c r="M19" s="19"/>
      <c r="N19"/>
      <c r="O19"/>
    </row>
    <row r="20" spans="1:15" s="3" customFormat="1" x14ac:dyDescent="0.25">
      <c r="A20" s="29"/>
      <c r="B20" s="29"/>
      <c r="C20" s="15"/>
      <c r="D20" s="29"/>
      <c r="E20" s="206"/>
      <c r="F20" s="206"/>
      <c r="G20" s="34"/>
      <c r="H20" s="116"/>
      <c r="I20" s="19"/>
      <c r="J20" s="19"/>
      <c r="K20" s="19"/>
      <c r="L20" s="19"/>
      <c r="M20" s="19"/>
      <c r="N20"/>
      <c r="O20"/>
    </row>
    <row r="21" spans="1:15" s="3" customFormat="1" x14ac:dyDescent="0.25">
      <c r="A21" s="29"/>
      <c r="B21" s="29"/>
      <c r="C21" s="15"/>
      <c r="D21" s="29"/>
      <c r="E21" s="206"/>
      <c r="F21" s="206"/>
      <c r="G21" s="34"/>
      <c r="H21" s="116"/>
      <c r="I21" s="19"/>
      <c r="J21" s="19"/>
      <c r="K21" s="19"/>
      <c r="L21" s="19"/>
      <c r="M21" s="19"/>
      <c r="N21"/>
      <c r="O21"/>
    </row>
    <row r="22" spans="1:15" s="3" customFormat="1" x14ac:dyDescent="0.25">
      <c r="A22" s="29"/>
      <c r="B22" s="29"/>
      <c r="C22" s="15"/>
      <c r="D22" s="29"/>
      <c r="E22" s="206"/>
      <c r="F22" s="206"/>
      <c r="G22" s="34"/>
      <c r="H22" s="116"/>
      <c r="I22" s="19"/>
      <c r="J22" s="19"/>
      <c r="K22" s="19"/>
      <c r="L22" s="19"/>
      <c r="M22" s="19"/>
      <c r="N22"/>
      <c r="O22"/>
    </row>
    <row r="23" spans="1:15" s="3" customFormat="1" x14ac:dyDescent="0.25">
      <c r="A23" s="29"/>
      <c r="B23" s="29"/>
      <c r="C23" s="15"/>
      <c r="D23" s="29"/>
      <c r="E23" s="206"/>
      <c r="F23" s="206"/>
      <c r="G23" s="34"/>
      <c r="H23" s="116"/>
      <c r="I23" s="19"/>
      <c r="J23" s="19"/>
      <c r="K23" s="19"/>
      <c r="L23" s="19"/>
      <c r="M23" s="19"/>
      <c r="N23"/>
      <c r="O23"/>
    </row>
    <row r="24" spans="1:15" s="3" customFormat="1" x14ac:dyDescent="0.25">
      <c r="A24" s="29"/>
      <c r="B24" s="29"/>
      <c r="C24" s="15"/>
      <c r="D24" s="29"/>
      <c r="E24" s="206"/>
      <c r="F24" s="206"/>
      <c r="G24" s="34"/>
      <c r="H24" s="116"/>
      <c r="I24" s="19"/>
      <c r="J24" s="19"/>
      <c r="K24" s="19"/>
      <c r="L24" s="19"/>
      <c r="M24" s="19"/>
      <c r="N24"/>
      <c r="O24"/>
    </row>
    <row r="25" spans="1:15" s="3" customFormat="1" x14ac:dyDescent="0.25">
      <c r="A25" s="29"/>
      <c r="B25" s="29"/>
      <c r="C25" s="15"/>
      <c r="D25" s="29"/>
      <c r="E25" s="206"/>
      <c r="F25" s="206"/>
      <c r="G25" s="34"/>
      <c r="H25" s="116"/>
      <c r="I25" s="19"/>
      <c r="J25" s="19"/>
      <c r="K25" s="19"/>
      <c r="L25" s="19"/>
      <c r="M25" s="19"/>
      <c r="N25"/>
      <c r="O25"/>
    </row>
    <row r="26" spans="1:15" s="3" customFormat="1" x14ac:dyDescent="0.25">
      <c r="A26" s="29"/>
      <c r="B26" s="29"/>
      <c r="C26" s="15"/>
      <c r="D26" s="29"/>
      <c r="E26" s="206"/>
      <c r="F26" s="206"/>
      <c r="G26" s="34"/>
      <c r="H26" s="116"/>
      <c r="I26" s="19"/>
      <c r="J26" s="19"/>
      <c r="K26" s="19"/>
      <c r="L26" s="19"/>
      <c r="M26" s="19"/>
      <c r="N26"/>
      <c r="O26"/>
    </row>
    <row r="27" spans="1:15" s="3" customFormat="1" x14ac:dyDescent="0.25">
      <c r="A27" s="29"/>
      <c r="B27" s="29"/>
      <c r="C27" s="15"/>
      <c r="D27" s="29"/>
      <c r="E27" s="206"/>
      <c r="F27" s="206"/>
      <c r="G27" s="34"/>
      <c r="H27" s="116"/>
      <c r="I27" s="19"/>
      <c r="J27" s="19"/>
      <c r="K27" s="19"/>
      <c r="L27" s="19"/>
      <c r="M27" s="19"/>
      <c r="N27"/>
      <c r="O27"/>
    </row>
    <row r="28" spans="1:15" s="3" customFormat="1" x14ac:dyDescent="0.25">
      <c r="A28" s="29"/>
      <c r="B28" s="29"/>
      <c r="C28" s="15"/>
      <c r="D28" s="29"/>
      <c r="E28" s="206"/>
      <c r="F28" s="206"/>
      <c r="G28" s="34"/>
      <c r="H28" s="116"/>
      <c r="I28" s="19"/>
      <c r="J28" s="19"/>
      <c r="K28" s="19"/>
      <c r="L28" s="19"/>
      <c r="M28" s="19"/>
      <c r="N28"/>
      <c r="O28"/>
    </row>
    <row r="29" spans="1:15" s="3" customFormat="1" x14ac:dyDescent="0.25">
      <c r="A29" s="29"/>
      <c r="B29" s="29"/>
      <c r="C29" s="15"/>
      <c r="D29" s="29"/>
      <c r="E29" s="206"/>
      <c r="F29" s="206"/>
      <c r="G29" s="34"/>
      <c r="H29" s="116"/>
      <c r="I29" s="19"/>
      <c r="J29" s="19"/>
      <c r="K29" s="19"/>
      <c r="L29" s="19"/>
      <c r="M29" s="19"/>
      <c r="N29"/>
      <c r="O29"/>
    </row>
    <row r="30" spans="1:15" s="3" customFormat="1" x14ac:dyDescent="0.25">
      <c r="A30" s="29"/>
      <c r="B30" s="29"/>
      <c r="C30" s="15"/>
      <c r="D30" s="29"/>
      <c r="E30" s="206"/>
      <c r="F30" s="206"/>
      <c r="G30" s="34"/>
      <c r="H30" s="116"/>
      <c r="I30" s="19"/>
      <c r="J30" s="19"/>
      <c r="K30" s="19"/>
      <c r="L30" s="19"/>
      <c r="M30" s="19"/>
      <c r="N30"/>
      <c r="O30"/>
    </row>
    <row r="31" spans="1:15" s="3" customFormat="1" x14ac:dyDescent="0.25">
      <c r="A31" s="29"/>
      <c r="B31" s="29"/>
      <c r="C31" s="15"/>
      <c r="D31" s="29"/>
      <c r="E31" s="206"/>
      <c r="F31" s="206"/>
      <c r="G31" s="34"/>
      <c r="H31" s="116"/>
      <c r="I31" s="19"/>
      <c r="J31" s="19"/>
      <c r="K31" s="19"/>
      <c r="L31" s="19"/>
      <c r="M31" s="19"/>
      <c r="N31"/>
      <c r="O31"/>
    </row>
    <row r="32" spans="1:15" s="4" customFormat="1" ht="20.25" x14ac:dyDescent="0.3">
      <c r="A32" s="29"/>
      <c r="B32" s="29"/>
      <c r="C32" s="15"/>
      <c r="D32" s="29"/>
      <c r="E32" s="206"/>
      <c r="F32" s="206"/>
      <c r="G32" s="34"/>
      <c r="H32" s="116"/>
      <c r="I32" s="19"/>
      <c r="J32" s="19"/>
      <c r="K32" s="19"/>
      <c r="L32" s="19"/>
      <c r="M32" s="19"/>
      <c r="N32"/>
      <c r="O32"/>
    </row>
  </sheetData>
  <mergeCells count="7">
    <mergeCell ref="A13:F13"/>
    <mergeCell ref="A1:O1"/>
    <mergeCell ref="A4:A5"/>
    <mergeCell ref="B4:B5"/>
    <mergeCell ref="C4:C5"/>
    <mergeCell ref="I4:J4"/>
    <mergeCell ref="K4:L4"/>
  </mergeCells>
  <pageMargins left="0.7" right="0.7" top="0.75" bottom="0.75" header="0.3" footer="0.3"/>
  <pageSetup scale="57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2"/>
  <sheetViews>
    <sheetView workbookViewId="0">
      <selection activeCell="O9" sqref="O9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902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467"/>
      <c r="B3" s="467"/>
      <c r="C3" s="467"/>
      <c r="D3" s="467"/>
      <c r="E3" s="467"/>
      <c r="F3" s="467"/>
      <c r="G3" s="467" t="s">
        <v>48</v>
      </c>
      <c r="H3" s="73" t="s">
        <v>901</v>
      </c>
      <c r="I3" s="467"/>
      <c r="J3" s="467"/>
      <c r="K3" s="467"/>
      <c r="L3" s="467"/>
      <c r="M3" s="467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466" t="s">
        <v>7</v>
      </c>
      <c r="H4" s="466" t="s">
        <v>8</v>
      </c>
      <c r="I4" s="466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54" t="s">
        <v>32</v>
      </c>
      <c r="B6" s="55" t="s">
        <v>900</v>
      </c>
      <c r="C6" s="56"/>
      <c r="D6" s="57" t="s">
        <v>11</v>
      </c>
      <c r="E6" s="57" t="s">
        <v>10</v>
      </c>
      <c r="F6" s="175">
        <v>386580</v>
      </c>
      <c r="G6" s="33"/>
      <c r="H6" s="14">
        <v>4610</v>
      </c>
      <c r="I6" s="58">
        <f t="shared" ref="I6:I13" si="0">F6-H6</f>
        <v>381970</v>
      </c>
      <c r="J6" s="60">
        <v>1</v>
      </c>
      <c r="K6" s="60">
        <v>57</v>
      </c>
      <c r="L6" s="22"/>
      <c r="M6" s="460" t="s">
        <v>903</v>
      </c>
      <c r="N6" s="71"/>
    </row>
    <row r="7" spans="1:14" s="12" customFormat="1" ht="15.75" x14ac:dyDescent="0.25">
      <c r="A7" s="28" t="s">
        <v>33</v>
      </c>
      <c r="B7" s="55" t="s">
        <v>904</v>
      </c>
      <c r="C7" s="17"/>
      <c r="D7" s="57" t="s">
        <v>11</v>
      </c>
      <c r="E7" s="57" t="s">
        <v>10</v>
      </c>
      <c r="F7" s="175">
        <f>I6</f>
        <v>381970</v>
      </c>
      <c r="G7" s="14"/>
      <c r="H7" s="14">
        <v>104030</v>
      </c>
      <c r="I7" s="58">
        <f t="shared" si="0"/>
        <v>277940</v>
      </c>
      <c r="J7" s="22">
        <v>4</v>
      </c>
      <c r="K7" s="22">
        <f>418+425+144+290</f>
        <v>1277</v>
      </c>
      <c r="L7" s="22"/>
      <c r="M7" s="69"/>
      <c r="N7" s="71"/>
    </row>
    <row r="8" spans="1:14" s="12" customFormat="1" ht="15.75" x14ac:dyDescent="0.25">
      <c r="A8" s="28" t="s">
        <v>34</v>
      </c>
      <c r="B8" s="55" t="s">
        <v>905</v>
      </c>
      <c r="C8" s="17"/>
      <c r="D8" s="57" t="s">
        <v>11</v>
      </c>
      <c r="E8" s="57" t="s">
        <v>10</v>
      </c>
      <c r="F8" s="175">
        <f>I7</f>
        <v>277940</v>
      </c>
      <c r="G8" s="14"/>
      <c r="H8" s="14">
        <v>66570</v>
      </c>
      <c r="I8" s="58">
        <f t="shared" si="0"/>
        <v>211370</v>
      </c>
      <c r="J8" s="22">
        <v>3</v>
      </c>
      <c r="K8" s="22">
        <f>296+124+420</f>
        <v>840</v>
      </c>
      <c r="L8" s="22"/>
      <c r="M8" s="69"/>
      <c r="N8" s="71"/>
    </row>
    <row r="9" spans="1:14" s="12" customFormat="1" ht="15.75" x14ac:dyDescent="0.25">
      <c r="A9" s="28" t="s">
        <v>35</v>
      </c>
      <c r="B9" s="181" t="s">
        <v>906</v>
      </c>
      <c r="C9" s="17"/>
      <c r="D9" s="57" t="s">
        <v>11</v>
      </c>
      <c r="E9" s="57" t="s">
        <v>10</v>
      </c>
      <c r="F9" s="175">
        <f>I8</f>
        <v>211370</v>
      </c>
      <c r="G9" s="14"/>
      <c r="H9" s="14">
        <v>67140</v>
      </c>
      <c r="I9" s="58">
        <f t="shared" si="0"/>
        <v>144230</v>
      </c>
      <c r="J9" s="22">
        <v>2</v>
      </c>
      <c r="K9" s="22">
        <f>429+444</f>
        <v>873</v>
      </c>
      <c r="L9" s="22"/>
      <c r="M9" s="69"/>
      <c r="N9" s="71"/>
    </row>
    <row r="10" spans="1:14" s="12" customFormat="1" ht="15.75" x14ac:dyDescent="0.25">
      <c r="A10" s="28" t="s">
        <v>36</v>
      </c>
      <c r="B10" s="181" t="s">
        <v>906</v>
      </c>
      <c r="C10" s="17"/>
      <c r="D10" s="57" t="s">
        <v>11</v>
      </c>
      <c r="E10" s="57" t="s">
        <v>10</v>
      </c>
      <c r="F10" s="175">
        <f>I9</f>
        <v>144230</v>
      </c>
      <c r="G10" s="14"/>
      <c r="H10" s="14">
        <v>66180</v>
      </c>
      <c r="I10" s="58">
        <f t="shared" si="0"/>
        <v>78050</v>
      </c>
      <c r="J10" s="22">
        <v>2</v>
      </c>
      <c r="K10" s="22">
        <f>438+422</f>
        <v>860</v>
      </c>
      <c r="L10" s="22"/>
      <c r="M10" s="69"/>
      <c r="N10" s="71"/>
    </row>
    <row r="11" spans="1:14" s="12" customFormat="1" ht="15.75" x14ac:dyDescent="0.25">
      <c r="A11" s="28" t="s">
        <v>17</v>
      </c>
      <c r="B11" s="181"/>
      <c r="C11" s="17"/>
      <c r="D11" s="57" t="s">
        <v>11</v>
      </c>
      <c r="E11" s="57" t="s">
        <v>10</v>
      </c>
      <c r="F11" s="33"/>
      <c r="G11" s="14"/>
      <c r="H11" s="14"/>
      <c r="I11" s="58">
        <f t="shared" si="0"/>
        <v>0</v>
      </c>
      <c r="J11" s="22"/>
      <c r="K11" s="22"/>
      <c r="L11" s="22"/>
      <c r="M11" s="69"/>
      <c r="N11" s="71"/>
    </row>
    <row r="12" spans="1:14" s="12" customFormat="1" ht="15.75" x14ac:dyDescent="0.25">
      <c r="A12" s="28" t="s">
        <v>18</v>
      </c>
      <c r="B12" s="181"/>
      <c r="C12" s="17"/>
      <c r="D12" s="57" t="s">
        <v>11</v>
      </c>
      <c r="E12" s="57" t="s">
        <v>10</v>
      </c>
      <c r="F12" s="33"/>
      <c r="G12" s="14"/>
      <c r="H12" s="14"/>
      <c r="I12" s="58">
        <f t="shared" si="0"/>
        <v>0</v>
      </c>
      <c r="J12" s="22"/>
      <c r="K12" s="22"/>
      <c r="L12" s="22"/>
      <c r="M12" s="69"/>
      <c r="N12" s="71"/>
    </row>
    <row r="13" spans="1:14" s="12" customFormat="1" ht="15.75" x14ac:dyDescent="0.25">
      <c r="A13" s="28" t="s">
        <v>19</v>
      </c>
      <c r="B13" s="30"/>
      <c r="C13" s="17"/>
      <c r="D13" s="57" t="s">
        <v>11</v>
      </c>
      <c r="E13" s="57" t="s">
        <v>10</v>
      </c>
      <c r="F13" s="33"/>
      <c r="G13" s="14"/>
      <c r="H13" s="14"/>
      <c r="I13" s="58">
        <f t="shared" si="0"/>
        <v>0</v>
      </c>
      <c r="J13" s="22"/>
      <c r="K13" s="22"/>
      <c r="L13" s="22"/>
      <c r="M13" s="69"/>
      <c r="N13" s="71"/>
    </row>
    <row r="14" spans="1:14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308530</v>
      </c>
      <c r="I14" s="260">
        <f>F6-H14</f>
        <v>78050</v>
      </c>
      <c r="J14" s="260">
        <f>SUM(J6:J13)</f>
        <v>12</v>
      </c>
      <c r="K14" s="260">
        <f>SUM(K6:K13)</f>
        <v>3907</v>
      </c>
      <c r="L14" s="261"/>
      <c r="M14" s="262">
        <f>+H14-K14</f>
        <v>304623</v>
      </c>
    </row>
    <row r="15" spans="1:14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3"/>
    </row>
    <row r="16" spans="1:14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3.2'!A37" display="BILL 4718"/>
  </hyperlinks>
  <pageMargins left="0.7" right="0.7" top="0.75" bottom="0.75" header="0.3" footer="0.3"/>
  <pageSetup orientation="portrait" horizontalDpi="180" verticalDpi="18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2"/>
  <sheetViews>
    <sheetView workbookViewId="0">
      <selection activeCell="K7" sqref="K7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893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462"/>
      <c r="B3" s="462"/>
      <c r="C3" s="462"/>
      <c r="D3" s="462"/>
      <c r="E3" s="462"/>
      <c r="F3" s="462"/>
      <c r="G3" s="462" t="s">
        <v>48</v>
      </c>
      <c r="H3" s="73" t="s">
        <v>892</v>
      </c>
      <c r="I3" s="462"/>
      <c r="J3" s="462"/>
      <c r="K3" s="462"/>
      <c r="L3" s="462"/>
      <c r="M3" s="462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461" t="s">
        <v>7</v>
      </c>
      <c r="H4" s="461" t="s">
        <v>8</v>
      </c>
      <c r="I4" s="461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54" t="s">
        <v>32</v>
      </c>
      <c r="B6" s="55" t="s">
        <v>891</v>
      </c>
      <c r="C6" s="56"/>
      <c r="D6" s="57" t="s">
        <v>11</v>
      </c>
      <c r="E6" s="57" t="s">
        <v>10</v>
      </c>
      <c r="F6" s="175">
        <v>100720</v>
      </c>
      <c r="G6" s="33"/>
      <c r="H6" s="14">
        <v>64280</v>
      </c>
      <c r="I6" s="58">
        <f t="shared" ref="I6:I13" si="0">F6-H6</f>
        <v>36440</v>
      </c>
      <c r="J6" s="60">
        <v>2</v>
      </c>
      <c r="K6" s="60">
        <f>390+393</f>
        <v>783</v>
      </c>
      <c r="L6" s="22"/>
      <c r="M6" s="460" t="s">
        <v>894</v>
      </c>
      <c r="N6" s="71"/>
    </row>
    <row r="7" spans="1:14" s="12" customFormat="1" ht="15.75" x14ac:dyDescent="0.25">
      <c r="A7" s="28" t="s">
        <v>33</v>
      </c>
      <c r="B7" s="55" t="s">
        <v>895</v>
      </c>
      <c r="C7" s="17"/>
      <c r="D7" s="57" t="s">
        <v>11</v>
      </c>
      <c r="E7" s="57" t="s">
        <v>10</v>
      </c>
      <c r="F7" s="175">
        <f>I6</f>
        <v>36440</v>
      </c>
      <c r="G7" s="14"/>
      <c r="H7" s="14">
        <v>33840</v>
      </c>
      <c r="I7" s="58">
        <f t="shared" si="0"/>
        <v>2600</v>
      </c>
      <c r="J7" s="22">
        <v>1</v>
      </c>
      <c r="K7" s="22">
        <v>412</v>
      </c>
      <c r="L7" s="22"/>
      <c r="M7" s="69"/>
      <c r="N7" s="71"/>
    </row>
    <row r="8" spans="1:14" s="12" customFormat="1" ht="15.75" x14ac:dyDescent="0.25">
      <c r="A8" s="28" t="s">
        <v>34</v>
      </c>
      <c r="B8" s="55"/>
      <c r="C8" s="17"/>
      <c r="D8" s="57" t="s">
        <v>11</v>
      </c>
      <c r="E8" s="57" t="s">
        <v>10</v>
      </c>
      <c r="F8" s="175"/>
      <c r="G8" s="14"/>
      <c r="H8" s="14"/>
      <c r="I8" s="58">
        <f t="shared" si="0"/>
        <v>0</v>
      </c>
      <c r="J8" s="22"/>
      <c r="K8" s="22"/>
      <c r="L8" s="22"/>
      <c r="M8" s="69"/>
      <c r="N8" s="71"/>
    </row>
    <row r="9" spans="1:14" s="12" customFormat="1" ht="15.75" x14ac:dyDescent="0.25">
      <c r="A9" s="28" t="s">
        <v>35</v>
      </c>
      <c r="B9" s="181"/>
      <c r="C9" s="17"/>
      <c r="D9" s="57" t="s">
        <v>11</v>
      </c>
      <c r="E9" s="57" t="s">
        <v>10</v>
      </c>
      <c r="F9" s="175"/>
      <c r="G9" s="14"/>
      <c r="H9" s="14"/>
      <c r="I9" s="58">
        <f t="shared" si="0"/>
        <v>0</v>
      </c>
      <c r="J9" s="22"/>
      <c r="K9" s="22"/>
      <c r="L9" s="22"/>
      <c r="M9" s="69"/>
      <c r="N9" s="71"/>
    </row>
    <row r="10" spans="1:14" s="12" customFormat="1" ht="15.75" x14ac:dyDescent="0.25">
      <c r="A10" s="28" t="s">
        <v>36</v>
      </c>
      <c r="B10" s="181"/>
      <c r="C10" s="17"/>
      <c r="D10" s="57" t="s">
        <v>11</v>
      </c>
      <c r="E10" s="57" t="s">
        <v>10</v>
      </c>
      <c r="F10" s="33"/>
      <c r="G10" s="14"/>
      <c r="H10" s="14"/>
      <c r="I10" s="58">
        <f t="shared" si="0"/>
        <v>0</v>
      </c>
      <c r="J10" s="22"/>
      <c r="K10" s="22"/>
      <c r="L10" s="22"/>
      <c r="M10" s="69"/>
      <c r="N10" s="71"/>
    </row>
    <row r="11" spans="1:14" s="12" customFormat="1" ht="15.75" x14ac:dyDescent="0.25">
      <c r="A11" s="28" t="s">
        <v>17</v>
      </c>
      <c r="B11" s="181"/>
      <c r="C11" s="17"/>
      <c r="D11" s="57" t="s">
        <v>11</v>
      </c>
      <c r="E11" s="57" t="s">
        <v>10</v>
      </c>
      <c r="F11" s="33"/>
      <c r="G11" s="14"/>
      <c r="H11" s="14"/>
      <c r="I11" s="58">
        <f t="shared" si="0"/>
        <v>0</v>
      </c>
      <c r="J11" s="22"/>
      <c r="K11" s="22"/>
      <c r="L11" s="22"/>
      <c r="M11" s="69"/>
      <c r="N11" s="71"/>
    </row>
    <row r="12" spans="1:14" s="12" customFormat="1" ht="15.75" x14ac:dyDescent="0.25">
      <c r="A12" s="28" t="s">
        <v>18</v>
      </c>
      <c r="B12" s="181"/>
      <c r="C12" s="17"/>
      <c r="D12" s="57" t="s">
        <v>11</v>
      </c>
      <c r="E12" s="57" t="s">
        <v>10</v>
      </c>
      <c r="F12" s="33"/>
      <c r="G12" s="14"/>
      <c r="H12" s="14"/>
      <c r="I12" s="58">
        <f t="shared" si="0"/>
        <v>0</v>
      </c>
      <c r="J12" s="22"/>
      <c r="K12" s="22"/>
      <c r="L12" s="22"/>
      <c r="M12" s="69"/>
      <c r="N12" s="71"/>
    </row>
    <row r="13" spans="1:14" s="12" customFormat="1" ht="15.75" x14ac:dyDescent="0.25">
      <c r="A13" s="28" t="s">
        <v>19</v>
      </c>
      <c r="B13" s="30"/>
      <c r="C13" s="17"/>
      <c r="D13" s="57" t="s">
        <v>11</v>
      </c>
      <c r="E13" s="57" t="s">
        <v>10</v>
      </c>
      <c r="F13" s="33"/>
      <c r="G13" s="14"/>
      <c r="H13" s="14"/>
      <c r="I13" s="58">
        <f t="shared" si="0"/>
        <v>0</v>
      </c>
      <c r="J13" s="22"/>
      <c r="K13" s="22"/>
      <c r="L13" s="22"/>
      <c r="M13" s="69"/>
      <c r="N13" s="71"/>
    </row>
    <row r="14" spans="1:14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98120</v>
      </c>
      <c r="I14" s="260">
        <f>F6-H14</f>
        <v>2600</v>
      </c>
      <c r="J14" s="260">
        <f>SUM(J6:J13)</f>
        <v>3</v>
      </c>
      <c r="K14" s="260">
        <f>SUM(K6:K13)</f>
        <v>1195</v>
      </c>
      <c r="L14" s="261"/>
      <c r="M14" s="262">
        <f>+H14-K14</f>
        <v>96925</v>
      </c>
    </row>
    <row r="15" spans="1:14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3"/>
    </row>
    <row r="16" spans="1:14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2.1'!A12" display="BILL 894C"/>
  </hyperlinks>
  <pageMargins left="0.7" right="0.7" top="0.75" bottom="0.75" header="0.3" footer="0.3"/>
  <pageSetup orientation="portrait" horizontalDpi="180" verticalDpi="18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2"/>
  <sheetViews>
    <sheetView workbookViewId="0">
      <selection activeCell="H3" sqref="H3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85546875" bestFit="1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871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411"/>
      <c r="B3" s="411"/>
      <c r="C3" s="411"/>
      <c r="D3" s="411"/>
      <c r="E3" s="411"/>
      <c r="F3" s="411"/>
      <c r="G3" s="411" t="s">
        <v>48</v>
      </c>
      <c r="H3" s="73" t="s">
        <v>872</v>
      </c>
      <c r="I3" s="411"/>
      <c r="J3" s="411"/>
      <c r="K3" s="411"/>
      <c r="L3" s="411"/>
      <c r="M3" s="411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410" t="s">
        <v>7</v>
      </c>
      <c r="H4" s="410" t="s">
        <v>8</v>
      </c>
      <c r="I4" s="410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54" t="s">
        <v>32</v>
      </c>
      <c r="B6" s="55" t="s">
        <v>873</v>
      </c>
      <c r="C6" s="56"/>
      <c r="D6" s="57" t="s">
        <v>11</v>
      </c>
      <c r="E6" s="57" t="s">
        <v>10</v>
      </c>
      <c r="F6" s="175">
        <v>1131510</v>
      </c>
      <c r="G6" s="33"/>
      <c r="H6" s="14">
        <v>238930</v>
      </c>
      <c r="I6" s="58">
        <f t="shared" ref="I6:I13" si="0">F6-H6</f>
        <v>892580</v>
      </c>
      <c r="J6" s="60">
        <v>7</v>
      </c>
      <c r="K6" s="60">
        <f>425+422+428+398+419+407+414</f>
        <v>2913</v>
      </c>
      <c r="L6" s="22"/>
      <c r="M6" s="338" t="s">
        <v>870</v>
      </c>
      <c r="N6" s="71"/>
    </row>
    <row r="7" spans="1:14" s="12" customFormat="1" ht="15.75" x14ac:dyDescent="0.25">
      <c r="A7" s="28" t="s">
        <v>33</v>
      </c>
      <c r="B7" s="55" t="s">
        <v>873</v>
      </c>
      <c r="C7" s="17"/>
      <c r="D7" s="57" t="s">
        <v>11</v>
      </c>
      <c r="E7" s="57" t="s">
        <v>10</v>
      </c>
      <c r="F7" s="175">
        <f>I6</f>
        <v>892580</v>
      </c>
      <c r="G7" s="14"/>
      <c r="H7" s="14">
        <v>367640</v>
      </c>
      <c r="I7" s="58">
        <f t="shared" si="0"/>
        <v>524940</v>
      </c>
      <c r="J7" s="22">
        <v>11</v>
      </c>
      <c r="K7" s="22">
        <f>419+413+391+413+410+401+415+410+414+396+399</f>
        <v>4481</v>
      </c>
      <c r="L7" s="22"/>
      <c r="M7" s="69"/>
      <c r="N7" s="71"/>
    </row>
    <row r="8" spans="1:14" s="12" customFormat="1" ht="15.75" x14ac:dyDescent="0.25">
      <c r="A8" s="28" t="s">
        <v>34</v>
      </c>
      <c r="B8" s="55" t="s">
        <v>877</v>
      </c>
      <c r="C8" s="17"/>
      <c r="D8" s="57" t="s">
        <v>11</v>
      </c>
      <c r="E8" s="57" t="s">
        <v>10</v>
      </c>
      <c r="F8" s="175">
        <f>I7</f>
        <v>524940</v>
      </c>
      <c r="G8" s="14"/>
      <c r="H8" s="14">
        <v>205840</v>
      </c>
      <c r="I8" s="58">
        <f t="shared" si="0"/>
        <v>319100</v>
      </c>
      <c r="J8" s="22">
        <v>6</v>
      </c>
      <c r="K8" s="22">
        <f>421+418+422+413+414+422</f>
        <v>2510</v>
      </c>
      <c r="L8" s="22"/>
      <c r="M8" s="69"/>
      <c r="N8" s="71"/>
    </row>
    <row r="9" spans="1:14" s="12" customFormat="1" ht="15.75" x14ac:dyDescent="0.25">
      <c r="A9" s="28" t="s">
        <v>35</v>
      </c>
      <c r="B9" s="181" t="s">
        <v>877</v>
      </c>
      <c r="C9" s="17"/>
      <c r="D9" s="57" t="s">
        <v>11</v>
      </c>
      <c r="E9" s="57" t="s">
        <v>10</v>
      </c>
      <c r="F9" s="175">
        <f>I8</f>
        <v>319100</v>
      </c>
      <c r="G9" s="14"/>
      <c r="H9" s="14">
        <v>238090</v>
      </c>
      <c r="I9" s="58">
        <f t="shared" si="0"/>
        <v>81010</v>
      </c>
      <c r="J9" s="22">
        <v>7</v>
      </c>
      <c r="K9" s="22">
        <f>418+422+419+413+408+412+411</f>
        <v>2903</v>
      </c>
      <c r="L9" s="22"/>
      <c r="M9" s="69"/>
      <c r="N9" s="71"/>
    </row>
    <row r="10" spans="1:14" s="12" customFormat="1" ht="15.75" x14ac:dyDescent="0.25">
      <c r="A10" s="28" t="s">
        <v>36</v>
      </c>
      <c r="B10" s="181" t="s">
        <v>879</v>
      </c>
      <c r="C10" s="17"/>
      <c r="D10" s="57" t="s">
        <v>11</v>
      </c>
      <c r="E10" s="57" t="s">
        <v>10</v>
      </c>
      <c r="F10" s="175">
        <f>I9</f>
        <v>81010</v>
      </c>
      <c r="G10" s="14"/>
      <c r="H10" s="14">
        <v>49340</v>
      </c>
      <c r="I10" s="58">
        <f t="shared" si="0"/>
        <v>31670</v>
      </c>
      <c r="J10" s="22">
        <v>2</v>
      </c>
      <c r="K10" s="22">
        <f>434+168</f>
        <v>602</v>
      </c>
      <c r="L10" s="22"/>
      <c r="M10" s="69"/>
      <c r="N10" s="71"/>
    </row>
    <row r="11" spans="1:14" s="12" customFormat="1" ht="15.75" x14ac:dyDescent="0.25">
      <c r="A11" s="28" t="s">
        <v>17</v>
      </c>
      <c r="B11" s="181"/>
      <c r="C11" s="17"/>
      <c r="D11" s="57" t="s">
        <v>11</v>
      </c>
      <c r="E11" s="57" t="s">
        <v>10</v>
      </c>
      <c r="F11" s="33"/>
      <c r="G11" s="14"/>
      <c r="H11" s="14"/>
      <c r="I11" s="58">
        <f t="shared" si="0"/>
        <v>0</v>
      </c>
      <c r="J11" s="22"/>
      <c r="K11" s="22"/>
      <c r="L11" s="22"/>
      <c r="M11" s="69"/>
      <c r="N11" s="71"/>
    </row>
    <row r="12" spans="1:14" s="12" customFormat="1" ht="15.75" x14ac:dyDescent="0.25">
      <c r="A12" s="28" t="s">
        <v>18</v>
      </c>
      <c r="B12" s="181"/>
      <c r="C12" s="17"/>
      <c r="D12" s="57" t="s">
        <v>11</v>
      </c>
      <c r="E12" s="57" t="s">
        <v>10</v>
      </c>
      <c r="F12" s="33"/>
      <c r="G12" s="14"/>
      <c r="H12" s="14"/>
      <c r="I12" s="58">
        <f t="shared" si="0"/>
        <v>0</v>
      </c>
      <c r="J12" s="22"/>
      <c r="K12" s="22"/>
      <c r="L12" s="22"/>
      <c r="M12" s="69"/>
      <c r="N12" s="71"/>
    </row>
    <row r="13" spans="1:14" s="12" customFormat="1" ht="15.75" x14ac:dyDescent="0.25">
      <c r="A13" s="28" t="s">
        <v>19</v>
      </c>
      <c r="B13" s="30"/>
      <c r="C13" s="17"/>
      <c r="D13" s="57" t="s">
        <v>11</v>
      </c>
      <c r="E13" s="57" t="s">
        <v>10</v>
      </c>
      <c r="F13" s="33"/>
      <c r="G13" s="14"/>
      <c r="H13" s="14"/>
      <c r="I13" s="58">
        <f t="shared" si="0"/>
        <v>0</v>
      </c>
      <c r="J13" s="22"/>
      <c r="K13" s="22"/>
      <c r="L13" s="22"/>
      <c r="M13" s="69"/>
      <c r="N13" s="71"/>
    </row>
    <row r="14" spans="1:14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1099840</v>
      </c>
      <c r="I14" s="260">
        <f>F6-H14</f>
        <v>31670</v>
      </c>
      <c r="J14" s="260">
        <f>SUM(J6:J13)</f>
        <v>33</v>
      </c>
      <c r="K14" s="260">
        <f>SUM(K6:K13)</f>
        <v>13409</v>
      </c>
      <c r="L14" s="261"/>
      <c r="M14" s="262">
        <f>+H14-K14</f>
        <v>1086431</v>
      </c>
    </row>
    <row r="15" spans="1:14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3"/>
    </row>
    <row r="16" spans="1:14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2.3'!A12" display="BILL 1770"/>
  </hyperlinks>
  <pageMargins left="0.7" right="0.7" top="0.75" bottom="0.75" header="0.3" footer="0.3"/>
  <pageSetup orientation="portrait" horizontalDpi="180" verticalDpi="18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2"/>
  <sheetViews>
    <sheetView workbookViewId="0">
      <selection activeCell="H3" sqref="H3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865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409"/>
      <c r="B3" s="409"/>
      <c r="C3" s="409"/>
      <c r="D3" s="409"/>
      <c r="E3" s="409"/>
      <c r="F3" s="409"/>
      <c r="G3" s="409" t="s">
        <v>48</v>
      </c>
      <c r="H3" s="73" t="s">
        <v>864</v>
      </c>
      <c r="I3" s="409"/>
      <c r="J3" s="409"/>
      <c r="K3" s="409"/>
      <c r="L3" s="409"/>
      <c r="M3" s="409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408" t="s">
        <v>7</v>
      </c>
      <c r="H4" s="408" t="s">
        <v>8</v>
      </c>
      <c r="I4" s="408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54" t="s">
        <v>32</v>
      </c>
      <c r="B6" s="55" t="s">
        <v>866</v>
      </c>
      <c r="C6" s="56"/>
      <c r="D6" s="57" t="s">
        <v>11</v>
      </c>
      <c r="E6" s="57" t="s">
        <v>10</v>
      </c>
      <c r="F6" s="175">
        <v>236220</v>
      </c>
      <c r="G6" s="33"/>
      <c r="H6" s="14">
        <v>69240</v>
      </c>
      <c r="I6" s="58">
        <f t="shared" ref="I6:I13" si="0">F6-H6</f>
        <v>166980</v>
      </c>
      <c r="J6" s="60">
        <v>2</v>
      </c>
      <c r="K6" s="60">
        <f>420+425</f>
        <v>845</v>
      </c>
      <c r="L6" s="22"/>
      <c r="M6" s="338" t="s">
        <v>868</v>
      </c>
      <c r="N6" s="71"/>
    </row>
    <row r="7" spans="1:14" s="12" customFormat="1" ht="15.75" x14ac:dyDescent="0.25">
      <c r="A7" s="28" t="s">
        <v>33</v>
      </c>
      <c r="B7" s="55" t="s">
        <v>869</v>
      </c>
      <c r="C7" s="17"/>
      <c r="D7" s="57" t="s">
        <v>11</v>
      </c>
      <c r="E7" s="57" t="s">
        <v>10</v>
      </c>
      <c r="F7" s="175">
        <f>I6</f>
        <v>166980</v>
      </c>
      <c r="G7" s="14"/>
      <c r="H7" s="14">
        <v>103600</v>
      </c>
      <c r="I7" s="58">
        <f t="shared" si="0"/>
        <v>63380</v>
      </c>
      <c r="J7" s="22">
        <v>3</v>
      </c>
      <c r="K7" s="22">
        <f>421+420+421</f>
        <v>1262</v>
      </c>
      <c r="L7" s="22"/>
      <c r="M7" s="69"/>
      <c r="N7" s="71"/>
    </row>
    <row r="8" spans="1:14" s="12" customFormat="1" ht="15.75" x14ac:dyDescent="0.25">
      <c r="A8" s="28" t="s">
        <v>34</v>
      </c>
      <c r="B8" s="55" t="s">
        <v>874</v>
      </c>
      <c r="C8" s="17"/>
      <c r="D8" s="57" t="s">
        <v>11</v>
      </c>
      <c r="E8" s="57" t="s">
        <v>10</v>
      </c>
      <c r="F8" s="175">
        <f>I7</f>
        <v>63380</v>
      </c>
      <c r="G8" s="14"/>
      <c r="H8" s="14">
        <v>63060</v>
      </c>
      <c r="I8" s="58">
        <f t="shared" si="0"/>
        <v>320</v>
      </c>
      <c r="J8" s="22">
        <v>2</v>
      </c>
      <c r="K8" s="22">
        <f>417+352</f>
        <v>769</v>
      </c>
      <c r="L8" s="22"/>
      <c r="M8" s="69"/>
      <c r="N8" s="71"/>
    </row>
    <row r="9" spans="1:14" s="12" customFormat="1" ht="15.75" x14ac:dyDescent="0.25">
      <c r="A9" s="28" t="s">
        <v>35</v>
      </c>
      <c r="B9" s="181"/>
      <c r="C9" s="17"/>
      <c r="D9" s="57" t="s">
        <v>11</v>
      </c>
      <c r="E9" s="57" t="s">
        <v>10</v>
      </c>
      <c r="F9" s="175"/>
      <c r="G9" s="14"/>
      <c r="H9" s="14"/>
      <c r="I9" s="58">
        <f t="shared" si="0"/>
        <v>0</v>
      </c>
      <c r="J9" s="22"/>
      <c r="K9" s="22"/>
      <c r="L9" s="22"/>
      <c r="M9" s="69"/>
      <c r="N9" s="71"/>
    </row>
    <row r="10" spans="1:14" s="12" customFormat="1" ht="15.75" x14ac:dyDescent="0.25">
      <c r="A10" s="28" t="s">
        <v>36</v>
      </c>
      <c r="B10" s="181"/>
      <c r="C10" s="17"/>
      <c r="D10" s="57" t="s">
        <v>11</v>
      </c>
      <c r="E10" s="57" t="s">
        <v>10</v>
      </c>
      <c r="F10" s="33"/>
      <c r="G10" s="14"/>
      <c r="H10" s="14"/>
      <c r="I10" s="58">
        <f t="shared" si="0"/>
        <v>0</v>
      </c>
      <c r="J10" s="22"/>
      <c r="K10" s="22"/>
      <c r="L10" s="22"/>
      <c r="M10" s="69"/>
      <c r="N10" s="71"/>
    </row>
    <row r="11" spans="1:14" s="12" customFormat="1" ht="15.75" x14ac:dyDescent="0.25">
      <c r="A11" s="28" t="s">
        <v>17</v>
      </c>
      <c r="B11" s="181"/>
      <c r="C11" s="17"/>
      <c r="D11" s="57" t="s">
        <v>11</v>
      </c>
      <c r="E11" s="57" t="s">
        <v>10</v>
      </c>
      <c r="F11" s="33"/>
      <c r="G11" s="14"/>
      <c r="H11" s="14"/>
      <c r="I11" s="58">
        <f t="shared" si="0"/>
        <v>0</v>
      </c>
      <c r="J11" s="22"/>
      <c r="K11" s="22"/>
      <c r="L11" s="22"/>
      <c r="M11" s="69"/>
      <c r="N11" s="71"/>
    </row>
    <row r="12" spans="1:14" s="12" customFormat="1" ht="15.75" x14ac:dyDescent="0.25">
      <c r="A12" s="28" t="s">
        <v>18</v>
      </c>
      <c r="B12" s="181"/>
      <c r="C12" s="17"/>
      <c r="D12" s="57" t="s">
        <v>11</v>
      </c>
      <c r="E12" s="57" t="s">
        <v>10</v>
      </c>
      <c r="F12" s="33"/>
      <c r="G12" s="14"/>
      <c r="H12" s="14"/>
      <c r="I12" s="58">
        <f t="shared" si="0"/>
        <v>0</v>
      </c>
      <c r="J12" s="22"/>
      <c r="K12" s="22"/>
      <c r="L12" s="22"/>
      <c r="M12" s="69"/>
      <c r="N12" s="71"/>
    </row>
    <row r="13" spans="1:14" s="12" customFormat="1" ht="15.75" x14ac:dyDescent="0.25">
      <c r="A13" s="28" t="s">
        <v>19</v>
      </c>
      <c r="B13" s="30"/>
      <c r="C13" s="17"/>
      <c r="D13" s="57" t="s">
        <v>11</v>
      </c>
      <c r="E13" s="57" t="s">
        <v>10</v>
      </c>
      <c r="F13" s="33"/>
      <c r="G13" s="14"/>
      <c r="H13" s="14"/>
      <c r="I13" s="58">
        <f t="shared" si="0"/>
        <v>0</v>
      </c>
      <c r="J13" s="22"/>
      <c r="K13" s="22"/>
      <c r="L13" s="22"/>
      <c r="M13" s="69"/>
      <c r="N13" s="71"/>
    </row>
    <row r="14" spans="1:14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235900</v>
      </c>
      <c r="I14" s="260">
        <f>F6-H14</f>
        <v>320</v>
      </c>
      <c r="J14" s="260">
        <f>SUM(J6:J13)</f>
        <v>7</v>
      </c>
      <c r="K14" s="260">
        <f>SUM(K6:K13)</f>
        <v>2876</v>
      </c>
      <c r="L14" s="261"/>
      <c r="M14" s="262">
        <f>+H14-K14</f>
        <v>233024</v>
      </c>
    </row>
    <row r="15" spans="1:14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3"/>
    </row>
    <row r="16" spans="1:14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2.1'!A1" display="BILL 4924"/>
  </hyperlinks>
  <pageMargins left="0.7" right="0.7" top="0.75" bottom="0.75" header="0.3" footer="0.3"/>
  <pageSetup orientation="portrait" horizontalDpi="180" verticalDpi="18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2"/>
  <sheetViews>
    <sheetView workbookViewId="0">
      <selection sqref="A1:M1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6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777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364"/>
      <c r="B3" s="364"/>
      <c r="C3" s="364"/>
      <c r="D3" s="364"/>
      <c r="E3" s="364"/>
      <c r="F3" s="364"/>
      <c r="G3" s="364" t="s">
        <v>48</v>
      </c>
      <c r="H3" s="73" t="s">
        <v>775</v>
      </c>
      <c r="I3" s="364"/>
      <c r="J3" s="364"/>
      <c r="K3" s="364"/>
      <c r="L3" s="364"/>
      <c r="M3" s="364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363" t="s">
        <v>7</v>
      </c>
      <c r="H4" s="363" t="s">
        <v>8</v>
      </c>
      <c r="I4" s="363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9.5" x14ac:dyDescent="0.3">
      <c r="A6" s="54" t="s">
        <v>32</v>
      </c>
      <c r="B6" s="55" t="s">
        <v>773</v>
      </c>
      <c r="C6" s="56"/>
      <c r="D6" s="57" t="s">
        <v>11</v>
      </c>
      <c r="E6" s="57" t="s">
        <v>10</v>
      </c>
      <c r="F6" s="175">
        <v>378980</v>
      </c>
      <c r="G6" s="33"/>
      <c r="H6" s="14">
        <v>48860</v>
      </c>
      <c r="I6" s="58">
        <f t="shared" ref="I6:I13" si="0">F6-H6</f>
        <v>330120</v>
      </c>
      <c r="J6" s="60">
        <v>3</v>
      </c>
      <c r="K6" s="60">
        <f>102+310+194</f>
        <v>606</v>
      </c>
      <c r="L6" s="22"/>
      <c r="M6" s="338" t="s">
        <v>776</v>
      </c>
      <c r="N6" s="71"/>
    </row>
    <row r="7" spans="1:14" s="12" customFormat="1" ht="15.75" x14ac:dyDescent="0.25">
      <c r="A7" s="28" t="s">
        <v>33</v>
      </c>
      <c r="B7" s="55" t="s">
        <v>783</v>
      </c>
      <c r="C7" s="17"/>
      <c r="D7" s="57" t="s">
        <v>11</v>
      </c>
      <c r="E7" s="57" t="s">
        <v>10</v>
      </c>
      <c r="F7" s="175">
        <f t="shared" ref="F7:F12" si="1">I6</f>
        <v>330120</v>
      </c>
      <c r="G7" s="14"/>
      <c r="H7" s="14">
        <v>65710</v>
      </c>
      <c r="I7" s="58">
        <f t="shared" si="0"/>
        <v>264410</v>
      </c>
      <c r="J7" s="22">
        <v>3</v>
      </c>
      <c r="K7" s="22">
        <f>334+83+458</f>
        <v>875</v>
      </c>
      <c r="L7" s="22"/>
      <c r="M7" s="69"/>
      <c r="N7" s="71"/>
    </row>
    <row r="8" spans="1:14" s="12" customFormat="1" ht="15.75" x14ac:dyDescent="0.25">
      <c r="A8" s="28" t="s">
        <v>34</v>
      </c>
      <c r="B8" s="30" t="s">
        <v>791</v>
      </c>
      <c r="C8" s="17"/>
      <c r="D8" s="57" t="s">
        <v>11</v>
      </c>
      <c r="E8" s="57" t="s">
        <v>10</v>
      </c>
      <c r="F8" s="175">
        <f t="shared" si="1"/>
        <v>264410</v>
      </c>
      <c r="G8" s="14"/>
      <c r="H8" s="14">
        <v>2240</v>
      </c>
      <c r="I8" s="58">
        <f t="shared" si="0"/>
        <v>262170</v>
      </c>
      <c r="J8" s="22">
        <v>1</v>
      </c>
      <c r="K8" s="22">
        <v>31</v>
      </c>
      <c r="L8" s="22"/>
      <c r="M8" s="69"/>
      <c r="N8" s="71"/>
    </row>
    <row r="9" spans="1:14" s="12" customFormat="1" ht="15.75" x14ac:dyDescent="0.25">
      <c r="A9" s="28" t="s">
        <v>35</v>
      </c>
      <c r="B9" s="181" t="s">
        <v>791</v>
      </c>
      <c r="C9" s="17"/>
      <c r="D9" s="57" t="s">
        <v>11</v>
      </c>
      <c r="E9" s="57" t="s">
        <v>10</v>
      </c>
      <c r="F9" s="33">
        <f t="shared" si="1"/>
        <v>262170</v>
      </c>
      <c r="G9" s="14"/>
      <c r="H9" s="14">
        <v>101900</v>
      </c>
      <c r="I9" s="58">
        <f t="shared" si="0"/>
        <v>160270</v>
      </c>
      <c r="J9" s="22">
        <v>4</v>
      </c>
      <c r="K9" s="22">
        <f>89+423+337+409</f>
        <v>1258</v>
      </c>
      <c r="L9" s="22"/>
      <c r="M9" s="69"/>
      <c r="N9" s="71"/>
    </row>
    <row r="10" spans="1:14" s="12" customFormat="1" ht="15.75" x14ac:dyDescent="0.25">
      <c r="A10" s="28" t="s">
        <v>36</v>
      </c>
      <c r="B10" s="181" t="s">
        <v>792</v>
      </c>
      <c r="C10" s="17"/>
      <c r="D10" s="57" t="s">
        <v>11</v>
      </c>
      <c r="E10" s="57" t="s">
        <v>10</v>
      </c>
      <c r="F10" s="33">
        <f t="shared" si="1"/>
        <v>160270</v>
      </c>
      <c r="G10" s="14"/>
      <c r="H10" s="14">
        <v>31880</v>
      </c>
      <c r="I10" s="58">
        <f t="shared" si="0"/>
        <v>128390</v>
      </c>
      <c r="J10" s="22">
        <v>1</v>
      </c>
      <c r="K10" s="22">
        <v>389</v>
      </c>
      <c r="L10" s="22"/>
      <c r="M10" s="69"/>
      <c r="N10" s="71"/>
    </row>
    <row r="11" spans="1:14" s="12" customFormat="1" ht="15.75" x14ac:dyDescent="0.25">
      <c r="A11" s="28" t="s">
        <v>17</v>
      </c>
      <c r="B11" s="181" t="s">
        <v>793</v>
      </c>
      <c r="C11" s="17"/>
      <c r="D11" s="57" t="s">
        <v>11</v>
      </c>
      <c r="E11" s="57" t="s">
        <v>10</v>
      </c>
      <c r="F11" s="33">
        <f t="shared" si="1"/>
        <v>128390</v>
      </c>
      <c r="G11" s="14"/>
      <c r="H11" s="14">
        <v>91980</v>
      </c>
      <c r="I11" s="58">
        <f t="shared" si="0"/>
        <v>36410</v>
      </c>
      <c r="J11" s="22">
        <v>11</v>
      </c>
      <c r="K11" s="22">
        <f>239+4+348+14+99+86+95+98+16+108+63</f>
        <v>1170</v>
      </c>
      <c r="L11" s="22"/>
      <c r="M11" s="69"/>
      <c r="N11" s="71"/>
    </row>
    <row r="12" spans="1:14" s="12" customFormat="1" ht="15.75" x14ac:dyDescent="0.25">
      <c r="A12" s="28" t="s">
        <v>18</v>
      </c>
      <c r="B12" s="181" t="s">
        <v>879</v>
      </c>
      <c r="C12" s="17"/>
      <c r="D12" s="57" t="s">
        <v>11</v>
      </c>
      <c r="E12" s="57" t="s">
        <v>10</v>
      </c>
      <c r="F12" s="33">
        <f t="shared" si="1"/>
        <v>36410</v>
      </c>
      <c r="G12" s="14"/>
      <c r="H12" s="14">
        <v>15500</v>
      </c>
      <c r="I12" s="58">
        <f t="shared" si="0"/>
        <v>20910</v>
      </c>
      <c r="J12" s="22">
        <v>1</v>
      </c>
      <c r="K12" s="22">
        <v>189</v>
      </c>
      <c r="L12" s="22"/>
      <c r="M12" s="69"/>
      <c r="N12" s="71"/>
    </row>
    <row r="13" spans="1:14" s="12" customFormat="1" ht="15.75" x14ac:dyDescent="0.25">
      <c r="A13" s="28" t="s">
        <v>19</v>
      </c>
      <c r="B13" s="30"/>
      <c r="C13" s="17"/>
      <c r="D13" s="57" t="s">
        <v>11</v>
      </c>
      <c r="E13" s="57" t="s">
        <v>10</v>
      </c>
      <c r="F13" s="33"/>
      <c r="G13" s="14"/>
      <c r="H13" s="14"/>
      <c r="I13" s="58">
        <f t="shared" si="0"/>
        <v>0</v>
      </c>
      <c r="J13" s="22"/>
      <c r="K13" s="22"/>
      <c r="L13" s="22"/>
      <c r="M13" s="69"/>
      <c r="N13" s="71"/>
    </row>
    <row r="14" spans="1:14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358070</v>
      </c>
      <c r="I14" s="260">
        <f>F6-H14</f>
        <v>20910</v>
      </c>
      <c r="J14" s="260">
        <f>SUM(J6:J13)</f>
        <v>24</v>
      </c>
      <c r="K14" s="260">
        <f>SUM(K6:K13)</f>
        <v>4518</v>
      </c>
      <c r="L14" s="261"/>
      <c r="M14" s="262">
        <f>+H14-K14</f>
        <v>353552</v>
      </c>
    </row>
    <row r="15" spans="1:14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3"/>
    </row>
    <row r="16" spans="1:14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2.2'!A1" display="BILL 092L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2"/>
  <sheetViews>
    <sheetView topLeftCell="A2" workbookViewId="0">
      <selection activeCell="I14" sqref="I14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20.28515625" bestFit="1" customWidth="1"/>
    <col min="14" max="14" width="11.5703125" bestFit="1" customWidth="1"/>
  </cols>
  <sheetData>
    <row r="1" spans="1:14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4" s="52" customFormat="1" ht="22.5" x14ac:dyDescent="0.3">
      <c r="A2" s="813" t="s">
        <v>750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4" s="52" customFormat="1" ht="22.5" x14ac:dyDescent="0.3">
      <c r="A3" s="277"/>
      <c r="B3" s="277"/>
      <c r="C3" s="277"/>
      <c r="D3" s="277"/>
      <c r="E3" s="277"/>
      <c r="F3" s="277"/>
      <c r="G3" s="277" t="s">
        <v>48</v>
      </c>
      <c r="H3" s="73" t="s">
        <v>723</v>
      </c>
      <c r="I3" s="277"/>
      <c r="J3" s="277"/>
      <c r="K3" s="277"/>
      <c r="L3" s="277"/>
      <c r="M3" s="277"/>
    </row>
    <row r="4" spans="1:14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276" t="s">
        <v>7</v>
      </c>
      <c r="H4" s="276" t="s">
        <v>8</v>
      </c>
      <c r="I4" s="276" t="s">
        <v>9</v>
      </c>
      <c r="J4" s="814" t="s">
        <v>47</v>
      </c>
      <c r="K4" s="752" t="s">
        <v>46</v>
      </c>
      <c r="L4" s="753"/>
      <c r="M4" s="7" t="s">
        <v>1</v>
      </c>
    </row>
    <row r="5" spans="1:14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4" s="59" customFormat="1" ht="15.75" x14ac:dyDescent="0.25">
      <c r="A6" s="54" t="s">
        <v>32</v>
      </c>
      <c r="B6" s="55" t="s">
        <v>724</v>
      </c>
      <c r="C6" s="56"/>
      <c r="D6" s="57" t="s">
        <v>11</v>
      </c>
      <c r="E6" s="57" t="s">
        <v>10</v>
      </c>
      <c r="F6" s="175">
        <v>210670</v>
      </c>
      <c r="G6" s="33"/>
      <c r="H6" s="33">
        <v>50130</v>
      </c>
      <c r="I6" s="58">
        <f t="shared" ref="I6:I13" si="0">F6-H6</f>
        <v>160540</v>
      </c>
      <c r="J6" s="60">
        <v>2</v>
      </c>
      <c r="K6" s="60">
        <f>192+412</f>
        <v>604</v>
      </c>
      <c r="L6" s="22"/>
      <c r="M6" s="336" t="s">
        <v>745</v>
      </c>
      <c r="N6" s="71"/>
    </row>
    <row r="7" spans="1:14" s="12" customFormat="1" ht="15.75" x14ac:dyDescent="0.25">
      <c r="A7" s="28" t="s">
        <v>33</v>
      </c>
      <c r="B7" s="55" t="s">
        <v>724</v>
      </c>
      <c r="C7" s="17"/>
      <c r="D7" s="57" t="s">
        <v>11</v>
      </c>
      <c r="E7" s="57" t="s">
        <v>10</v>
      </c>
      <c r="F7" s="175">
        <f>I6</f>
        <v>160540</v>
      </c>
      <c r="G7" s="14"/>
      <c r="H7" s="14">
        <v>63660</v>
      </c>
      <c r="I7" s="58">
        <f t="shared" si="0"/>
        <v>96880</v>
      </c>
      <c r="J7" s="22">
        <v>2</v>
      </c>
      <c r="K7" s="22">
        <f>388+378</f>
        <v>766</v>
      </c>
      <c r="L7" s="22"/>
      <c r="M7" s="69"/>
      <c r="N7" s="71"/>
    </row>
    <row r="8" spans="1:14" s="12" customFormat="1" ht="15.75" x14ac:dyDescent="0.25">
      <c r="A8" s="28" t="s">
        <v>34</v>
      </c>
      <c r="B8" s="30" t="s">
        <v>729</v>
      </c>
      <c r="C8" s="17"/>
      <c r="D8" s="57" t="s">
        <v>11</v>
      </c>
      <c r="E8" s="57" t="s">
        <v>10</v>
      </c>
      <c r="F8" s="175">
        <f>I7</f>
        <v>96880</v>
      </c>
      <c r="G8" s="14"/>
      <c r="H8" s="14">
        <v>65990</v>
      </c>
      <c r="I8" s="58">
        <f t="shared" si="0"/>
        <v>30890</v>
      </c>
      <c r="J8" s="22">
        <v>2</v>
      </c>
      <c r="K8" s="22">
        <f>388+407</f>
        <v>795</v>
      </c>
      <c r="L8" s="22"/>
      <c r="M8" s="69"/>
      <c r="N8" s="71"/>
    </row>
    <row r="9" spans="1:14" s="12" customFormat="1" ht="15.75" x14ac:dyDescent="0.25">
      <c r="A9" s="28" t="s">
        <v>35</v>
      </c>
      <c r="B9" s="181" t="s">
        <v>729</v>
      </c>
      <c r="C9" s="17"/>
      <c r="D9" s="57" t="s">
        <v>11</v>
      </c>
      <c r="E9" s="57" t="s">
        <v>10</v>
      </c>
      <c r="F9" s="33">
        <f>I8</f>
        <v>30890</v>
      </c>
      <c r="G9" s="14"/>
      <c r="H9" s="14">
        <v>17550</v>
      </c>
      <c r="I9" s="58">
        <f t="shared" si="0"/>
        <v>13340</v>
      </c>
      <c r="J9" s="22">
        <v>1</v>
      </c>
      <c r="K9" s="22">
        <v>151</v>
      </c>
      <c r="L9" s="22"/>
      <c r="M9" s="69"/>
      <c r="N9" s="71"/>
    </row>
    <row r="10" spans="1:14" s="12" customFormat="1" ht="15.75" x14ac:dyDescent="0.25">
      <c r="A10" s="28" t="s">
        <v>36</v>
      </c>
      <c r="B10" s="181"/>
      <c r="C10" s="17"/>
      <c r="D10" s="57" t="s">
        <v>11</v>
      </c>
      <c r="E10" s="57" t="s">
        <v>10</v>
      </c>
      <c r="F10" s="33"/>
      <c r="G10" s="14"/>
      <c r="H10" s="14"/>
      <c r="I10" s="58">
        <f t="shared" si="0"/>
        <v>0</v>
      </c>
      <c r="J10" s="22"/>
      <c r="K10" s="22"/>
      <c r="L10" s="22"/>
      <c r="M10" s="69"/>
      <c r="N10" s="71"/>
    </row>
    <row r="11" spans="1:14" s="12" customFormat="1" ht="15.75" x14ac:dyDescent="0.25">
      <c r="A11" s="28" t="s">
        <v>17</v>
      </c>
      <c r="B11" s="181"/>
      <c r="C11" s="17"/>
      <c r="D11" s="57" t="s">
        <v>11</v>
      </c>
      <c r="E11" s="57" t="s">
        <v>10</v>
      </c>
      <c r="F11" s="33"/>
      <c r="G11" s="14"/>
      <c r="H11" s="14"/>
      <c r="I11" s="58">
        <f t="shared" si="0"/>
        <v>0</v>
      </c>
      <c r="J11" s="22"/>
      <c r="K11" s="22"/>
      <c r="L11" s="22"/>
      <c r="M11" s="69"/>
      <c r="N11" s="71"/>
    </row>
    <row r="12" spans="1:14" s="12" customFormat="1" ht="15.75" x14ac:dyDescent="0.25">
      <c r="A12" s="28" t="s">
        <v>18</v>
      </c>
      <c r="B12" s="181"/>
      <c r="C12" s="17"/>
      <c r="D12" s="57" t="s">
        <v>11</v>
      </c>
      <c r="E12" s="57" t="s">
        <v>10</v>
      </c>
      <c r="F12" s="33"/>
      <c r="G12" s="14"/>
      <c r="H12" s="14"/>
      <c r="I12" s="58">
        <f t="shared" si="0"/>
        <v>0</v>
      </c>
      <c r="J12" s="22"/>
      <c r="K12" s="22"/>
      <c r="L12" s="22"/>
      <c r="M12" s="69"/>
      <c r="N12" s="71"/>
    </row>
    <row r="13" spans="1:14" s="12" customFormat="1" ht="15.75" x14ac:dyDescent="0.25">
      <c r="A13" s="28" t="s">
        <v>19</v>
      </c>
      <c r="B13" s="30"/>
      <c r="C13" s="17"/>
      <c r="D13" s="57" t="s">
        <v>11</v>
      </c>
      <c r="E13" s="57" t="s">
        <v>10</v>
      </c>
      <c r="F13" s="33"/>
      <c r="G13" s="14"/>
      <c r="H13" s="14"/>
      <c r="I13" s="58">
        <f t="shared" si="0"/>
        <v>0</v>
      </c>
      <c r="J13" s="22"/>
      <c r="K13" s="22"/>
      <c r="L13" s="22"/>
      <c r="M13" s="69"/>
      <c r="N13" s="71"/>
    </row>
    <row r="14" spans="1:14" s="4" customFormat="1" ht="20.25" x14ac:dyDescent="0.3">
      <c r="A14" s="816" t="s">
        <v>209</v>
      </c>
      <c r="B14" s="817"/>
      <c r="C14" s="817"/>
      <c r="D14" s="817"/>
      <c r="E14" s="818"/>
      <c r="F14" s="260"/>
      <c r="G14" s="260"/>
      <c r="H14" s="366">
        <f>SUM(H6:H13)</f>
        <v>197330</v>
      </c>
      <c r="I14" s="260">
        <f>F6-H14</f>
        <v>13340</v>
      </c>
      <c r="J14" s="260">
        <f>SUM(J6:J13)</f>
        <v>7</v>
      </c>
      <c r="K14" s="260">
        <f>SUM(K6:K13)</f>
        <v>2316</v>
      </c>
      <c r="L14" s="261"/>
      <c r="M14" s="262">
        <f>+H14-K14</f>
        <v>195014</v>
      </c>
    </row>
    <row r="15" spans="1:14" s="4" customFormat="1" ht="20.25" x14ac:dyDescent="0.3">
      <c r="A15" s="41"/>
      <c r="B15" s="41"/>
      <c r="C15" s="41"/>
      <c r="D15" s="41"/>
      <c r="E15" s="41"/>
      <c r="F15" s="42"/>
      <c r="G15" s="42"/>
      <c r="H15" s="42"/>
      <c r="I15" s="42"/>
      <c r="J15" s="42"/>
      <c r="K15" s="42"/>
      <c r="L15" s="42"/>
      <c r="M15" s="43"/>
    </row>
    <row r="16" spans="1:14" x14ac:dyDescent="0.25">
      <c r="F16" s="19"/>
    </row>
    <row r="17" spans="1:13" x14ac:dyDescent="0.25">
      <c r="F17" s="34"/>
      <c r="G17" s="19"/>
      <c r="H17" s="19"/>
      <c r="I17" s="19"/>
      <c r="J17" s="19"/>
      <c r="K17" s="19"/>
      <c r="L17" s="19"/>
    </row>
    <row r="18" spans="1:13" x14ac:dyDescent="0.25">
      <c r="F18" s="19"/>
      <c r="G18" s="19"/>
    </row>
    <row r="19" spans="1:13" s="19" customFormat="1" x14ac:dyDescent="0.25">
      <c r="A19" s="29"/>
      <c r="B19" s="29"/>
      <c r="C19" s="18"/>
      <c r="D19"/>
      <c r="E19"/>
      <c r="F19" s="34"/>
      <c r="G19"/>
      <c r="I19"/>
      <c r="J19"/>
      <c r="K19"/>
      <c r="L19"/>
      <c r="M19"/>
    </row>
    <row r="20" spans="1:13" s="19" customFormat="1" x14ac:dyDescent="0.25">
      <c r="A20" s="29"/>
      <c r="B20" s="29"/>
      <c r="C20" s="18"/>
      <c r="D20"/>
      <c r="E20"/>
      <c r="F20" s="35"/>
      <c r="G20"/>
      <c r="H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G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H22"/>
      <c r="I22"/>
      <c r="J22"/>
      <c r="K22"/>
      <c r="L22"/>
      <c r="M22"/>
    </row>
  </sheetData>
  <mergeCells count="5">
    <mergeCell ref="A1:M1"/>
    <mergeCell ref="A2:M2"/>
    <mergeCell ref="J4:J5"/>
    <mergeCell ref="K4:L4"/>
    <mergeCell ref="A14:E14"/>
  </mergeCells>
  <hyperlinks>
    <hyperlink ref="H3" location="'ĐIỀU KHO 2.2'!A1" display="BILL 681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3"/>
  <sheetViews>
    <sheetView workbookViewId="0">
      <selection activeCell="J19" sqref="J19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19.42578125" customWidth="1"/>
    <col min="14" max="14" width="11.5703125" bestFit="1" customWidth="1"/>
  </cols>
  <sheetData>
    <row r="1" spans="1:15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5" s="52" customFormat="1" ht="22.5" x14ac:dyDescent="0.3">
      <c r="A2" s="265"/>
      <c r="B2" s="265"/>
      <c r="C2" s="265"/>
      <c r="D2" s="265"/>
      <c r="E2" s="265"/>
      <c r="F2" s="265" t="s">
        <v>66</v>
      </c>
      <c r="G2" s="265"/>
      <c r="H2" s="265"/>
      <c r="I2" s="265"/>
      <c r="J2" s="265"/>
      <c r="K2" s="265"/>
      <c r="L2" s="265"/>
      <c r="M2" s="265"/>
    </row>
    <row r="3" spans="1:15" s="52" customFormat="1" ht="22.5" x14ac:dyDescent="0.3">
      <c r="A3" s="265"/>
      <c r="B3" s="265"/>
      <c r="C3" s="265"/>
      <c r="D3" s="265"/>
      <c r="E3" s="265"/>
      <c r="F3" s="265"/>
      <c r="G3" s="265" t="s">
        <v>48</v>
      </c>
      <c r="H3" s="73" t="s">
        <v>672</v>
      </c>
      <c r="I3" s="265"/>
      <c r="J3" s="265"/>
      <c r="K3" s="265"/>
      <c r="L3" s="265"/>
      <c r="M3" s="265"/>
    </row>
    <row r="4" spans="1:15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264" t="s">
        <v>7</v>
      </c>
      <c r="H4" s="264" t="s">
        <v>8</v>
      </c>
      <c r="I4" s="264" t="s">
        <v>9</v>
      </c>
      <c r="J4" s="814" t="s">
        <v>47</v>
      </c>
      <c r="K4" s="752" t="s">
        <v>46</v>
      </c>
      <c r="L4" s="753"/>
      <c r="M4" s="7" t="s">
        <v>1</v>
      </c>
    </row>
    <row r="5" spans="1:15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5" s="59" customFormat="1" ht="15.75" x14ac:dyDescent="0.25">
      <c r="A6" s="256" t="s">
        <v>32</v>
      </c>
      <c r="B6" s="256" t="s">
        <v>669</v>
      </c>
      <c r="C6" s="257"/>
      <c r="D6" s="258" t="s">
        <v>11</v>
      </c>
      <c r="E6" s="258" t="s">
        <v>10</v>
      </c>
      <c r="F6" s="259">
        <v>48306</v>
      </c>
      <c r="G6" s="259"/>
      <c r="H6" s="259">
        <v>47650</v>
      </c>
      <c r="I6" s="259">
        <f>F6-H6</f>
        <v>656</v>
      </c>
      <c r="J6" s="259">
        <v>2</v>
      </c>
      <c r="K6" s="259">
        <f>337+283</f>
        <v>620</v>
      </c>
      <c r="L6" s="259"/>
      <c r="M6" s="263" t="s">
        <v>673</v>
      </c>
      <c r="N6" s="71"/>
    </row>
    <row r="7" spans="1:15" s="59" customFormat="1" ht="15.75" x14ac:dyDescent="0.25">
      <c r="A7" s="256"/>
      <c r="B7" s="256"/>
      <c r="C7" s="257"/>
      <c r="D7" s="258"/>
      <c r="E7" s="258"/>
      <c r="F7" s="259"/>
      <c r="G7" s="259"/>
      <c r="H7" s="259"/>
      <c r="I7" s="259">
        <f>F7</f>
        <v>0</v>
      </c>
      <c r="J7" s="259"/>
      <c r="K7" s="259"/>
      <c r="L7" s="259"/>
      <c r="M7" s="259"/>
      <c r="N7" s="71"/>
    </row>
    <row r="8" spans="1:15" s="59" customFormat="1" ht="15.75" x14ac:dyDescent="0.25">
      <c r="A8" s="256"/>
      <c r="B8" s="256"/>
      <c r="C8" s="257"/>
      <c r="D8" s="258"/>
      <c r="E8" s="258"/>
      <c r="F8" s="259"/>
      <c r="G8" s="259"/>
      <c r="H8" s="259"/>
      <c r="I8" s="259">
        <f>F8</f>
        <v>0</v>
      </c>
      <c r="J8" s="259"/>
      <c r="K8" s="259"/>
      <c r="L8" s="259"/>
      <c r="M8" s="259"/>
      <c r="N8" s="71"/>
    </row>
    <row r="9" spans="1:15" s="12" customFormat="1" ht="20.25" x14ac:dyDescent="0.3">
      <c r="A9" s="819" t="s">
        <v>209</v>
      </c>
      <c r="B9" s="819"/>
      <c r="C9" s="819"/>
      <c r="D9" s="819"/>
      <c r="E9" s="819"/>
      <c r="F9" s="266"/>
      <c r="G9" s="266"/>
      <c r="H9" s="367">
        <f>H6</f>
        <v>47650</v>
      </c>
      <c r="I9" s="266">
        <f>F6-H9</f>
        <v>656</v>
      </c>
      <c r="J9" s="266">
        <f>J6</f>
        <v>2</v>
      </c>
      <c r="K9" s="266">
        <f>K6</f>
        <v>620</v>
      </c>
      <c r="L9" s="266"/>
      <c r="M9" s="266">
        <f>+H9-K9</f>
        <v>47030</v>
      </c>
      <c r="N9" s="71"/>
    </row>
    <row r="10" spans="1:15" s="12" customFormat="1" ht="15.75" x14ac:dyDescent="0.25">
      <c r="A10" s="28" t="s">
        <v>33</v>
      </c>
      <c r="B10" s="30" t="s">
        <v>651</v>
      </c>
      <c r="C10" s="17"/>
      <c r="D10" s="57" t="s">
        <v>11</v>
      </c>
      <c r="E10" s="57" t="s">
        <v>10</v>
      </c>
      <c r="F10" s="33"/>
      <c r="G10" s="14"/>
      <c r="H10" s="14"/>
      <c r="I10" s="58">
        <f>F10-H10</f>
        <v>0</v>
      </c>
      <c r="J10" s="22"/>
      <c r="K10" s="22"/>
      <c r="L10" s="22"/>
      <c r="M10" s="348" t="s">
        <v>762</v>
      </c>
      <c r="N10" s="71"/>
    </row>
    <row r="11" spans="1:15" s="12" customFormat="1" ht="15.75" x14ac:dyDescent="0.25">
      <c r="A11" s="28" t="s">
        <v>34</v>
      </c>
      <c r="B11" s="181" t="s">
        <v>651</v>
      </c>
      <c r="C11" s="17"/>
      <c r="D11" s="57" t="s">
        <v>11</v>
      </c>
      <c r="E11" s="57" t="s">
        <v>10</v>
      </c>
      <c r="F11" s="33"/>
      <c r="G11" s="14"/>
      <c r="H11" s="14"/>
      <c r="I11" s="58">
        <f>F11-H11</f>
        <v>0</v>
      </c>
      <c r="J11" s="22"/>
      <c r="K11" s="22"/>
      <c r="L11" s="22"/>
      <c r="M11" s="69"/>
      <c r="N11" s="71"/>
      <c r="O11" s="22"/>
    </row>
    <row r="12" spans="1:15" s="12" customFormat="1" ht="15.75" x14ac:dyDescent="0.25">
      <c r="A12" s="28" t="s">
        <v>35</v>
      </c>
      <c r="B12" s="30" t="s">
        <v>654</v>
      </c>
      <c r="C12" s="17"/>
      <c r="D12" s="57" t="s">
        <v>11</v>
      </c>
      <c r="E12" s="57" t="s">
        <v>10</v>
      </c>
      <c r="F12" s="33"/>
      <c r="G12" s="14"/>
      <c r="H12" s="14"/>
      <c r="I12" s="58">
        <f>F12-H12</f>
        <v>0</v>
      </c>
      <c r="J12" s="22"/>
      <c r="K12" s="22"/>
      <c r="L12" s="22"/>
      <c r="M12" s="69"/>
      <c r="N12" s="71"/>
    </row>
    <row r="13" spans="1:15" s="12" customFormat="1" ht="15.75" x14ac:dyDescent="0.25">
      <c r="A13" s="28" t="s">
        <v>36</v>
      </c>
      <c r="B13" s="30"/>
      <c r="C13" s="17"/>
      <c r="D13" s="57" t="s">
        <v>11</v>
      </c>
      <c r="E13" s="57" t="s">
        <v>10</v>
      </c>
      <c r="F13" s="33"/>
      <c r="G13" s="14"/>
      <c r="H13" s="14"/>
      <c r="I13" s="58">
        <f>F13-H13</f>
        <v>0</v>
      </c>
      <c r="J13" s="22"/>
      <c r="K13" s="22"/>
      <c r="L13" s="22"/>
      <c r="M13" s="69"/>
      <c r="N13" s="71"/>
    </row>
    <row r="14" spans="1:15" s="12" customFormat="1" ht="15.75" x14ac:dyDescent="0.25">
      <c r="A14" s="28" t="s">
        <v>17</v>
      </c>
      <c r="B14" s="30"/>
      <c r="C14" s="17"/>
      <c r="D14" s="57" t="s">
        <v>11</v>
      </c>
      <c r="E14" s="57" t="s">
        <v>10</v>
      </c>
      <c r="F14" s="33"/>
      <c r="G14" s="14"/>
      <c r="H14" s="14"/>
      <c r="I14" s="58">
        <f>F14-H14</f>
        <v>0</v>
      </c>
      <c r="J14" s="22"/>
      <c r="K14" s="22"/>
      <c r="L14" s="22"/>
      <c r="M14" s="69"/>
      <c r="N14" s="71"/>
    </row>
    <row r="15" spans="1:15" s="4" customFormat="1" ht="20.25" x14ac:dyDescent="0.3">
      <c r="A15" s="820" t="s">
        <v>209</v>
      </c>
      <c r="B15" s="821"/>
      <c r="C15" s="821"/>
      <c r="D15" s="821"/>
      <c r="E15" s="822"/>
      <c r="F15" s="66"/>
      <c r="G15" s="66"/>
      <c r="H15" s="66">
        <f>SUM(H10:H14)</f>
        <v>0</v>
      </c>
      <c r="I15" s="66"/>
      <c r="J15" s="66">
        <f>SUM(J10:J14)</f>
        <v>0</v>
      </c>
      <c r="K15" s="66">
        <f>SUM(K10:K14)</f>
        <v>0</v>
      </c>
      <c r="L15" s="267"/>
      <c r="M15" s="268">
        <f>+H15-K15</f>
        <v>0</v>
      </c>
    </row>
    <row r="16" spans="1:15" s="4" customFormat="1" ht="20.25" x14ac:dyDescent="0.3">
      <c r="A16" s="816" t="s">
        <v>209</v>
      </c>
      <c r="B16" s="817"/>
      <c r="C16" s="817"/>
      <c r="D16" s="817"/>
      <c r="E16" s="818"/>
      <c r="F16" s="260"/>
      <c r="G16" s="260"/>
      <c r="H16" s="260">
        <f>SUM(H9+H15)</f>
        <v>47650</v>
      </c>
      <c r="I16" s="260"/>
      <c r="J16" s="260">
        <f>SUM(J9+J15)</f>
        <v>2</v>
      </c>
      <c r="K16" s="260">
        <f>SUM(K9+K15)</f>
        <v>620</v>
      </c>
      <c r="L16" s="261"/>
      <c r="M16" s="262">
        <f>+H16-K16</f>
        <v>47030</v>
      </c>
    </row>
    <row r="17" spans="1:13" x14ac:dyDescent="0.25">
      <c r="F17" s="19"/>
    </row>
    <row r="18" spans="1:13" x14ac:dyDescent="0.25">
      <c r="F18" s="34"/>
      <c r="G18" s="19"/>
      <c r="H18" s="19"/>
      <c r="I18" s="19"/>
      <c r="J18" s="19"/>
      <c r="K18" s="19"/>
      <c r="L18" s="19"/>
    </row>
    <row r="19" spans="1:13" x14ac:dyDescent="0.25">
      <c r="F19" s="19"/>
      <c r="G19" s="19"/>
    </row>
    <row r="20" spans="1:13" s="19" customFormat="1" x14ac:dyDescent="0.25">
      <c r="A20" s="29"/>
      <c r="B20" s="29"/>
      <c r="C20" s="18"/>
      <c r="D20"/>
      <c r="E20"/>
      <c r="F20" s="34"/>
      <c r="G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F21" s="35"/>
      <c r="G21"/>
      <c r="H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I22"/>
      <c r="J22"/>
      <c r="K22"/>
      <c r="L22"/>
      <c r="M22"/>
    </row>
    <row r="23" spans="1:13" s="19" customFormat="1" x14ac:dyDescent="0.25">
      <c r="A23" s="29"/>
      <c r="B23" s="29"/>
      <c r="C23" s="18"/>
      <c r="D23"/>
      <c r="E23"/>
      <c r="G23"/>
      <c r="H23"/>
      <c r="I23"/>
      <c r="J23"/>
      <c r="K23"/>
      <c r="L23"/>
      <c r="M23"/>
    </row>
  </sheetData>
  <mergeCells count="6">
    <mergeCell ref="A16:E16"/>
    <mergeCell ref="A1:M1"/>
    <mergeCell ref="J4:J5"/>
    <mergeCell ref="K4:L4"/>
    <mergeCell ref="A9:E9"/>
    <mergeCell ref="A15:E15"/>
  </mergeCells>
  <hyperlinks>
    <hyperlink ref="H3" location="'ĐIỀU KHO 2.2'!K24" display="BILL 071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3"/>
  <sheetViews>
    <sheetView workbookViewId="0">
      <selection activeCell="H3" sqref="H3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19.42578125" customWidth="1"/>
    <col min="14" max="14" width="11.5703125" bestFit="1" customWidth="1"/>
  </cols>
  <sheetData>
    <row r="1" spans="1:15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5" s="52" customFormat="1" ht="22.5" x14ac:dyDescent="0.3">
      <c r="A2" s="812" t="s">
        <v>763</v>
      </c>
      <c r="B2" s="812"/>
      <c r="C2" s="812"/>
      <c r="D2" s="812"/>
      <c r="E2" s="812"/>
      <c r="F2" s="812"/>
      <c r="G2" s="812"/>
      <c r="H2" s="812"/>
      <c r="I2" s="812"/>
      <c r="J2" s="812"/>
      <c r="K2" s="812"/>
      <c r="L2" s="812"/>
      <c r="M2" s="812"/>
    </row>
    <row r="3" spans="1:15" s="52" customFormat="1" ht="22.5" x14ac:dyDescent="0.3">
      <c r="A3" s="265"/>
      <c r="B3" s="265"/>
      <c r="C3" s="265"/>
      <c r="D3" s="265"/>
      <c r="E3" s="265"/>
      <c r="F3" s="265"/>
      <c r="G3" s="265" t="s">
        <v>48</v>
      </c>
      <c r="H3" s="635" t="s">
        <v>670</v>
      </c>
      <c r="I3" s="265"/>
      <c r="J3" s="265"/>
      <c r="K3" s="265"/>
      <c r="L3" s="265"/>
      <c r="M3" s="265"/>
    </row>
    <row r="4" spans="1:15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264" t="s">
        <v>7</v>
      </c>
      <c r="H4" s="264" t="s">
        <v>8</v>
      </c>
      <c r="I4" s="264" t="s">
        <v>9</v>
      </c>
      <c r="J4" s="814" t="s">
        <v>47</v>
      </c>
      <c r="K4" s="752" t="s">
        <v>46</v>
      </c>
      <c r="L4" s="753"/>
      <c r="M4" s="7" t="s">
        <v>1</v>
      </c>
    </row>
    <row r="5" spans="1:15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5" s="59" customFormat="1" ht="15.75" x14ac:dyDescent="0.25">
      <c r="A6" s="631" t="s">
        <v>32</v>
      </c>
      <c r="B6" s="631" t="s">
        <v>679</v>
      </c>
      <c r="C6" s="632"/>
      <c r="D6" s="633" t="s">
        <v>11</v>
      </c>
      <c r="E6" s="633" t="s">
        <v>10</v>
      </c>
      <c r="F6" s="634">
        <v>25765</v>
      </c>
      <c r="G6" s="634"/>
      <c r="H6" s="634">
        <v>25400</v>
      </c>
      <c r="I6" s="634">
        <f>F6-H6</f>
        <v>365</v>
      </c>
      <c r="J6" s="634">
        <v>1</v>
      </c>
      <c r="K6" s="634"/>
      <c r="L6" s="634"/>
      <c r="M6" s="263" t="s">
        <v>671</v>
      </c>
      <c r="N6" s="71"/>
    </row>
    <row r="7" spans="1:15" s="59" customFormat="1" ht="15.75" x14ac:dyDescent="0.25">
      <c r="A7" s="631"/>
      <c r="B7" s="631"/>
      <c r="C7" s="632"/>
      <c r="D7" s="633"/>
      <c r="E7" s="633"/>
      <c r="F7" s="634"/>
      <c r="G7" s="634"/>
      <c r="H7" s="634"/>
      <c r="I7" s="634">
        <f>F7</f>
        <v>0</v>
      </c>
      <c r="J7" s="634"/>
      <c r="K7" s="634"/>
      <c r="L7" s="634"/>
      <c r="M7" s="634"/>
      <c r="N7" s="71"/>
    </row>
    <row r="8" spans="1:15" s="59" customFormat="1" ht="15.75" x14ac:dyDescent="0.25">
      <c r="A8" s="631"/>
      <c r="B8" s="631"/>
      <c r="C8" s="632"/>
      <c r="D8" s="633"/>
      <c r="E8" s="633"/>
      <c r="F8" s="634"/>
      <c r="G8" s="634"/>
      <c r="H8" s="634"/>
      <c r="I8" s="634">
        <f>F8</f>
        <v>0</v>
      </c>
      <c r="J8" s="634"/>
      <c r="K8" s="634"/>
      <c r="L8" s="634"/>
      <c r="M8" s="634"/>
      <c r="N8" s="71"/>
    </row>
    <row r="9" spans="1:15" s="12" customFormat="1" ht="20.25" x14ac:dyDescent="0.3">
      <c r="A9" s="819" t="s">
        <v>209</v>
      </c>
      <c r="B9" s="819"/>
      <c r="C9" s="819"/>
      <c r="D9" s="819"/>
      <c r="E9" s="819"/>
      <c r="F9" s="266"/>
      <c r="G9" s="266"/>
      <c r="H9" s="367">
        <f>H6</f>
        <v>25400</v>
      </c>
      <c r="I9" s="266">
        <f>F6-H9</f>
        <v>365</v>
      </c>
      <c r="J9" s="266">
        <f>J6</f>
        <v>1</v>
      </c>
      <c r="K9" s="266">
        <f>K6</f>
        <v>0</v>
      </c>
      <c r="L9" s="266"/>
      <c r="M9" s="266">
        <f>+H9-K9</f>
        <v>25400</v>
      </c>
      <c r="N9" s="71"/>
    </row>
    <row r="10" spans="1:15" s="12" customFormat="1" ht="15.75" x14ac:dyDescent="0.25">
      <c r="A10" s="28" t="s">
        <v>33</v>
      </c>
      <c r="B10" s="30" t="s">
        <v>651</v>
      </c>
      <c r="C10" s="17"/>
      <c r="D10" s="57" t="s">
        <v>11</v>
      </c>
      <c r="E10" s="57" t="s">
        <v>10</v>
      </c>
      <c r="F10" s="33">
        <v>26185</v>
      </c>
      <c r="G10" s="14"/>
      <c r="H10" s="14"/>
      <c r="I10" s="58">
        <f>F10-H10</f>
        <v>26185</v>
      </c>
      <c r="J10" s="22"/>
      <c r="K10" s="22"/>
      <c r="L10" s="22"/>
      <c r="M10" s="348" t="s">
        <v>762</v>
      </c>
      <c r="N10" s="71"/>
    </row>
    <row r="11" spans="1:15" s="12" customFormat="1" ht="15.75" x14ac:dyDescent="0.25">
      <c r="A11" s="28" t="s">
        <v>34</v>
      </c>
      <c r="B11" s="181" t="s">
        <v>651</v>
      </c>
      <c r="C11" s="17"/>
      <c r="D11" s="57" t="s">
        <v>11</v>
      </c>
      <c r="E11" s="57" t="s">
        <v>10</v>
      </c>
      <c r="F11" s="33"/>
      <c r="G11" s="14"/>
      <c r="H11" s="14"/>
      <c r="I11" s="58">
        <f>F11-H11</f>
        <v>0</v>
      </c>
      <c r="J11" s="22"/>
      <c r="K11" s="22"/>
      <c r="L11" s="22"/>
      <c r="M11" s="69"/>
      <c r="N11" s="71"/>
      <c r="O11" s="22"/>
    </row>
    <row r="12" spans="1:15" s="12" customFormat="1" ht="15.75" x14ac:dyDescent="0.25">
      <c r="A12" s="28" t="s">
        <v>35</v>
      </c>
      <c r="B12" s="30" t="s">
        <v>654</v>
      </c>
      <c r="C12" s="17"/>
      <c r="D12" s="57" t="s">
        <v>11</v>
      </c>
      <c r="E12" s="57" t="s">
        <v>10</v>
      </c>
      <c r="F12" s="33"/>
      <c r="G12" s="14"/>
      <c r="H12" s="14"/>
      <c r="I12" s="58">
        <f>F12-H12</f>
        <v>0</v>
      </c>
      <c r="J12" s="22"/>
      <c r="K12" s="22"/>
      <c r="L12" s="22"/>
      <c r="M12" s="69"/>
      <c r="N12" s="71"/>
    </row>
    <row r="13" spans="1:15" s="12" customFormat="1" ht="15.75" x14ac:dyDescent="0.25">
      <c r="A13" s="28" t="s">
        <v>36</v>
      </c>
      <c r="B13" s="30"/>
      <c r="C13" s="17"/>
      <c r="D13" s="57" t="s">
        <v>11</v>
      </c>
      <c r="E13" s="57" t="s">
        <v>10</v>
      </c>
      <c r="F13" s="33"/>
      <c r="G13" s="14"/>
      <c r="H13" s="14"/>
      <c r="I13" s="58">
        <f>F13-H13</f>
        <v>0</v>
      </c>
      <c r="J13" s="22"/>
      <c r="K13" s="22"/>
      <c r="L13" s="22"/>
      <c r="M13" s="69"/>
      <c r="N13" s="71"/>
    </row>
    <row r="14" spans="1:15" s="12" customFormat="1" ht="15.75" x14ac:dyDescent="0.25">
      <c r="A14" s="28" t="s">
        <v>17</v>
      </c>
      <c r="B14" s="30"/>
      <c r="C14" s="17"/>
      <c r="D14" s="57" t="s">
        <v>11</v>
      </c>
      <c r="E14" s="57" t="s">
        <v>10</v>
      </c>
      <c r="F14" s="33"/>
      <c r="G14" s="14"/>
      <c r="H14" s="14"/>
      <c r="I14" s="58">
        <f>F14-H14</f>
        <v>0</v>
      </c>
      <c r="J14" s="22"/>
      <c r="K14" s="22"/>
      <c r="L14" s="22"/>
      <c r="M14" s="69"/>
      <c r="N14" s="71"/>
    </row>
    <row r="15" spans="1:15" s="4" customFormat="1" ht="20.25" x14ac:dyDescent="0.3">
      <c r="A15" s="820" t="s">
        <v>209</v>
      </c>
      <c r="B15" s="821"/>
      <c r="C15" s="821"/>
      <c r="D15" s="821"/>
      <c r="E15" s="822"/>
      <c r="F15" s="66"/>
      <c r="G15" s="66"/>
      <c r="H15" s="66">
        <f>SUM(H10:H14)</f>
        <v>0</v>
      </c>
      <c r="I15" s="66"/>
      <c r="J15" s="66">
        <f>SUM(J10:J14)</f>
        <v>0</v>
      </c>
      <c r="K15" s="66">
        <f>SUM(K10:K14)</f>
        <v>0</v>
      </c>
      <c r="L15" s="267"/>
      <c r="M15" s="268">
        <f>+H15-K15</f>
        <v>0</v>
      </c>
    </row>
    <row r="16" spans="1:15" s="4" customFormat="1" ht="20.25" x14ac:dyDescent="0.3">
      <c r="A16" s="816" t="s">
        <v>209</v>
      </c>
      <c r="B16" s="817"/>
      <c r="C16" s="817"/>
      <c r="D16" s="817"/>
      <c r="E16" s="818"/>
      <c r="F16" s="260"/>
      <c r="G16" s="260"/>
      <c r="H16" s="260">
        <f>SUM(H9+H15)</f>
        <v>25400</v>
      </c>
      <c r="I16" s="260"/>
      <c r="J16" s="260">
        <f>SUM(J9+J15)</f>
        <v>1</v>
      </c>
      <c r="K16" s="260">
        <f>SUM(K9+K15)</f>
        <v>0</v>
      </c>
      <c r="L16" s="261"/>
      <c r="M16" s="262">
        <f>+H16-K16</f>
        <v>25400</v>
      </c>
    </row>
    <row r="17" spans="1:13" x14ac:dyDescent="0.25">
      <c r="F17" s="19"/>
    </row>
    <row r="18" spans="1:13" x14ac:dyDescent="0.25">
      <c r="F18" s="34"/>
      <c r="G18" s="19"/>
      <c r="H18" s="19"/>
      <c r="I18" s="19"/>
      <c r="J18" s="19"/>
      <c r="K18" s="19"/>
      <c r="L18" s="19"/>
    </row>
    <row r="19" spans="1:13" x14ac:dyDescent="0.25">
      <c r="F19" s="19"/>
      <c r="G19" s="19"/>
    </row>
    <row r="20" spans="1:13" s="19" customFormat="1" x14ac:dyDescent="0.25">
      <c r="A20" s="29"/>
      <c r="B20" s="29"/>
      <c r="C20" s="18"/>
      <c r="D20"/>
      <c r="E20"/>
      <c r="F20" s="34"/>
      <c r="G20"/>
      <c r="I20"/>
      <c r="J20"/>
      <c r="K20"/>
      <c r="L20"/>
      <c r="M20"/>
    </row>
    <row r="21" spans="1:13" s="19" customFormat="1" x14ac:dyDescent="0.25">
      <c r="A21" s="29"/>
      <c r="B21" s="29"/>
      <c r="C21" s="18"/>
      <c r="D21"/>
      <c r="E21"/>
      <c r="F21" s="35"/>
      <c r="G21"/>
      <c r="H21"/>
      <c r="I21"/>
      <c r="J21"/>
      <c r="K21"/>
      <c r="L21"/>
      <c r="M21"/>
    </row>
    <row r="22" spans="1:13" s="19" customFormat="1" x14ac:dyDescent="0.25">
      <c r="A22" s="29"/>
      <c r="B22" s="29"/>
      <c r="C22" s="18"/>
      <c r="D22"/>
      <c r="E22"/>
      <c r="G22"/>
      <c r="I22"/>
      <c r="J22"/>
      <c r="K22"/>
      <c r="L22"/>
      <c r="M22"/>
    </row>
    <row r="23" spans="1:13" s="19" customFormat="1" x14ac:dyDescent="0.25">
      <c r="A23" s="29"/>
      <c r="B23" s="29"/>
      <c r="C23" s="18"/>
      <c r="D23"/>
      <c r="E23"/>
      <c r="G23"/>
      <c r="H23"/>
      <c r="I23"/>
      <c r="J23"/>
      <c r="K23"/>
      <c r="L23"/>
      <c r="M23"/>
    </row>
  </sheetData>
  <mergeCells count="7">
    <mergeCell ref="A16:E16"/>
    <mergeCell ref="A1:M1"/>
    <mergeCell ref="J4:J5"/>
    <mergeCell ref="K4:L4"/>
    <mergeCell ref="A9:E9"/>
    <mergeCell ref="A15:E15"/>
    <mergeCell ref="A2:M2"/>
  </mergeCells>
  <hyperlinks>
    <hyperlink ref="H3" location="'ĐIỀU KHO 1.3'!A21" display="BILL 590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"/>
  <sheetViews>
    <sheetView workbookViewId="0">
      <selection activeCell="H3" sqref="H3"/>
    </sheetView>
  </sheetViews>
  <sheetFormatPr defaultRowHeight="15" x14ac:dyDescent="0.25"/>
  <cols>
    <col min="1" max="1" width="6.5703125" customWidth="1"/>
    <col min="2" max="2" width="14.7109375" customWidth="1"/>
    <col min="3" max="3" width="0.140625" customWidth="1"/>
    <col min="4" max="4" width="19.28515625" customWidth="1"/>
    <col min="5" max="5" width="8.42578125" style="206" customWidth="1"/>
    <col min="6" max="6" width="14.7109375" customWidth="1"/>
    <col min="7" max="7" width="13.7109375" hidden="1" customWidth="1"/>
    <col min="8" max="9" width="14.7109375" customWidth="1"/>
    <col min="10" max="10" width="13" customWidth="1"/>
    <col min="11" max="11" width="14.7109375" customWidth="1"/>
    <col min="12" max="12" width="12.85546875" customWidth="1"/>
    <col min="13" max="13" width="20.28515625" bestFit="1" customWidth="1"/>
  </cols>
  <sheetData>
    <row r="1" spans="1:13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3" ht="22.5" x14ac:dyDescent="0.3">
      <c r="A2" s="813" t="s">
        <v>751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</row>
    <row r="3" spans="1:13" ht="22.5" x14ac:dyDescent="0.3">
      <c r="A3" s="207"/>
      <c r="B3" s="207"/>
      <c r="C3" s="207"/>
      <c r="D3" s="207"/>
      <c r="E3" s="207"/>
      <c r="F3" s="207"/>
      <c r="G3" s="207" t="s">
        <v>48</v>
      </c>
      <c r="H3" s="73" t="s">
        <v>613</v>
      </c>
      <c r="I3" s="207"/>
      <c r="J3" s="207"/>
      <c r="K3" s="207"/>
      <c r="L3" s="207"/>
      <c r="M3" s="207"/>
    </row>
    <row r="4" spans="1:13" s="211" customFormat="1" ht="63" customHeight="1" x14ac:dyDescent="0.25">
      <c r="A4" s="171" t="s">
        <v>0</v>
      </c>
      <c r="B4" s="84" t="s">
        <v>38</v>
      </c>
      <c r="C4" s="84" t="s">
        <v>39</v>
      </c>
      <c r="D4" s="208" t="s">
        <v>3</v>
      </c>
      <c r="E4" s="208" t="s">
        <v>4</v>
      </c>
      <c r="F4" s="209" t="s">
        <v>6</v>
      </c>
      <c r="G4" s="210" t="s">
        <v>7</v>
      </c>
      <c r="H4" s="210" t="s">
        <v>8</v>
      </c>
      <c r="I4" s="210" t="s">
        <v>9</v>
      </c>
      <c r="J4" s="839" t="s">
        <v>47</v>
      </c>
      <c r="K4" s="841" t="s">
        <v>46</v>
      </c>
      <c r="L4" s="842"/>
      <c r="M4" s="208" t="s">
        <v>1</v>
      </c>
    </row>
    <row r="5" spans="1:13" s="211" customFormat="1" ht="31.5" x14ac:dyDescent="0.25">
      <c r="A5" s="212"/>
      <c r="B5" s="213"/>
      <c r="C5" s="84"/>
      <c r="D5" s="208"/>
      <c r="E5" s="208"/>
      <c r="F5" s="214" t="s">
        <v>13</v>
      </c>
      <c r="G5" s="214" t="s">
        <v>13</v>
      </c>
      <c r="H5" s="214" t="s">
        <v>13</v>
      </c>
      <c r="I5" s="214" t="s">
        <v>13</v>
      </c>
      <c r="J5" s="840"/>
      <c r="K5" s="214" t="s">
        <v>49</v>
      </c>
      <c r="L5" s="21" t="s">
        <v>50</v>
      </c>
      <c r="M5" s="208" t="s">
        <v>61</v>
      </c>
    </row>
    <row r="6" spans="1:13" ht="15.75" x14ac:dyDescent="0.25">
      <c r="A6" s="54" t="s">
        <v>32</v>
      </c>
      <c r="B6" s="55" t="s">
        <v>614</v>
      </c>
      <c r="C6" s="56"/>
      <c r="D6" s="57" t="s">
        <v>11</v>
      </c>
      <c r="E6" s="205" t="s">
        <v>10</v>
      </c>
      <c r="F6" s="175">
        <v>349816</v>
      </c>
      <c r="G6" s="33"/>
      <c r="H6" s="33">
        <v>115130</v>
      </c>
      <c r="I6" s="58">
        <f>F6-H6</f>
        <v>234686</v>
      </c>
      <c r="J6" s="60">
        <v>4</v>
      </c>
      <c r="K6" s="60">
        <f>405+196+400+402</f>
        <v>1403</v>
      </c>
      <c r="L6" s="22"/>
      <c r="M6" s="336" t="s">
        <v>746</v>
      </c>
    </row>
    <row r="7" spans="1:13" ht="15.75" x14ac:dyDescent="0.25">
      <c r="A7" s="28" t="s">
        <v>33</v>
      </c>
      <c r="B7" s="55" t="s">
        <v>614</v>
      </c>
      <c r="C7" s="17"/>
      <c r="D7" s="57" t="s">
        <v>11</v>
      </c>
      <c r="E7" s="205" t="s">
        <v>10</v>
      </c>
      <c r="F7" s="33">
        <f>I6</f>
        <v>234686</v>
      </c>
      <c r="G7" s="14"/>
      <c r="H7" s="14">
        <v>84740</v>
      </c>
      <c r="I7" s="58">
        <f t="shared" ref="I7:I15" si="0">F7-H7</f>
        <v>149946</v>
      </c>
      <c r="J7" s="22">
        <v>3</v>
      </c>
      <c r="K7" s="22">
        <f>418+196+420</f>
        <v>1034</v>
      </c>
      <c r="L7" s="22"/>
      <c r="M7" s="69"/>
    </row>
    <row r="8" spans="1:13" ht="15.75" x14ac:dyDescent="0.25">
      <c r="A8" s="28" t="s">
        <v>34</v>
      </c>
      <c r="B8" s="30" t="s">
        <v>620</v>
      </c>
      <c r="C8" s="17"/>
      <c r="D8" s="57" t="s">
        <v>11</v>
      </c>
      <c r="E8" s="205" t="s">
        <v>10</v>
      </c>
      <c r="F8" s="33">
        <f>I7</f>
        <v>149946</v>
      </c>
      <c r="G8" s="14"/>
      <c r="H8" s="14">
        <v>67680</v>
      </c>
      <c r="I8" s="58">
        <f t="shared" si="0"/>
        <v>82266</v>
      </c>
      <c r="J8" s="22">
        <v>2</v>
      </c>
      <c r="K8" s="22">
        <f>420+405</f>
        <v>825</v>
      </c>
      <c r="L8" s="22"/>
      <c r="M8" s="69"/>
    </row>
    <row r="9" spans="1:13" ht="15.75" x14ac:dyDescent="0.25">
      <c r="A9" s="28" t="s">
        <v>35</v>
      </c>
      <c r="B9" s="181" t="s">
        <v>620</v>
      </c>
      <c r="C9" s="17"/>
      <c r="D9" s="57" t="s">
        <v>11</v>
      </c>
      <c r="E9" s="205" t="s">
        <v>10</v>
      </c>
      <c r="F9" s="33">
        <f>I8</f>
        <v>82266</v>
      </c>
      <c r="G9" s="14"/>
      <c r="H9" s="14">
        <v>33680</v>
      </c>
      <c r="I9" s="58">
        <f t="shared" si="0"/>
        <v>48586</v>
      </c>
      <c r="J9" s="22">
        <v>1</v>
      </c>
      <c r="K9" s="22">
        <v>411</v>
      </c>
      <c r="L9" s="22"/>
      <c r="M9" s="69"/>
    </row>
    <row r="10" spans="1:13" ht="15.75" x14ac:dyDescent="0.25">
      <c r="A10" s="28" t="s">
        <v>36</v>
      </c>
      <c r="B10" s="30" t="s">
        <v>482</v>
      </c>
      <c r="C10" s="17"/>
      <c r="D10" s="57" t="s">
        <v>11</v>
      </c>
      <c r="E10" s="205" t="s">
        <v>10</v>
      </c>
      <c r="F10" s="33">
        <f>I9</f>
        <v>48586</v>
      </c>
      <c r="G10" s="14"/>
      <c r="H10" s="14">
        <v>43510</v>
      </c>
      <c r="I10" s="58">
        <f t="shared" si="0"/>
        <v>5076</v>
      </c>
      <c r="J10" s="22">
        <v>2</v>
      </c>
      <c r="K10" s="22">
        <f>406+142</f>
        <v>548</v>
      </c>
      <c r="L10" s="22"/>
      <c r="M10" s="69"/>
    </row>
    <row r="11" spans="1:13" ht="15.75" x14ac:dyDescent="0.25">
      <c r="A11" s="28" t="s">
        <v>17</v>
      </c>
      <c r="B11" s="30"/>
      <c r="C11" s="17"/>
      <c r="D11" s="57" t="s">
        <v>11</v>
      </c>
      <c r="E11" s="205" t="s">
        <v>10</v>
      </c>
      <c r="F11" s="33">
        <f>I10</f>
        <v>5076</v>
      </c>
      <c r="G11" s="14"/>
      <c r="H11" s="14"/>
      <c r="I11" s="58">
        <f t="shared" si="0"/>
        <v>5076</v>
      </c>
      <c r="J11" s="22"/>
      <c r="K11" s="22"/>
      <c r="L11" s="22"/>
      <c r="M11" s="69"/>
    </row>
    <row r="12" spans="1:13" ht="15.75" x14ac:dyDescent="0.25">
      <c r="A12" s="28" t="s">
        <v>18</v>
      </c>
      <c r="B12" s="30"/>
      <c r="C12" s="17"/>
      <c r="D12" s="57" t="s">
        <v>11</v>
      </c>
      <c r="E12" s="205" t="s">
        <v>10</v>
      </c>
      <c r="F12" s="33"/>
      <c r="G12" s="14"/>
      <c r="H12" s="14"/>
      <c r="I12" s="58">
        <f t="shared" si="0"/>
        <v>0</v>
      </c>
      <c r="J12" s="22"/>
      <c r="K12" s="22"/>
      <c r="L12" s="22"/>
      <c r="M12" s="69"/>
    </row>
    <row r="13" spans="1:13" ht="15.75" x14ac:dyDescent="0.25">
      <c r="A13" s="28" t="s">
        <v>19</v>
      </c>
      <c r="B13" s="30"/>
      <c r="C13" s="17"/>
      <c r="D13" s="57" t="s">
        <v>11</v>
      </c>
      <c r="E13" s="205" t="s">
        <v>10</v>
      </c>
      <c r="F13" s="33"/>
      <c r="G13" s="14"/>
      <c r="H13" s="14"/>
      <c r="I13" s="58">
        <f t="shared" si="0"/>
        <v>0</v>
      </c>
      <c r="J13" s="22"/>
      <c r="K13" s="22"/>
      <c r="L13" s="22"/>
      <c r="M13" s="69"/>
    </row>
    <row r="14" spans="1:13" ht="15.75" x14ac:dyDescent="0.25">
      <c r="A14" s="28" t="s">
        <v>20</v>
      </c>
      <c r="B14" s="30"/>
      <c r="C14" s="17"/>
      <c r="D14" s="57" t="s">
        <v>11</v>
      </c>
      <c r="E14" s="205" t="s">
        <v>10</v>
      </c>
      <c r="F14" s="33"/>
      <c r="G14" s="14"/>
      <c r="H14" s="14"/>
      <c r="I14" s="58">
        <f t="shared" si="0"/>
        <v>0</v>
      </c>
      <c r="J14" s="22"/>
      <c r="K14" s="22"/>
      <c r="L14" s="22"/>
      <c r="M14" s="69"/>
    </row>
    <row r="15" spans="1:13" ht="15.75" x14ac:dyDescent="0.25">
      <c r="A15" s="28" t="s">
        <v>387</v>
      </c>
      <c r="B15" s="30"/>
      <c r="C15" s="17"/>
      <c r="D15" s="57" t="s">
        <v>11</v>
      </c>
      <c r="E15" s="205" t="s">
        <v>10</v>
      </c>
      <c r="F15" s="33"/>
      <c r="G15" s="14"/>
      <c r="H15" s="14"/>
      <c r="I15" s="58">
        <f t="shared" si="0"/>
        <v>0</v>
      </c>
      <c r="J15" s="22"/>
      <c r="K15" s="22"/>
      <c r="L15" s="22"/>
      <c r="M15" s="69"/>
    </row>
    <row r="16" spans="1:13" ht="20.25" x14ac:dyDescent="0.3">
      <c r="A16" s="816" t="s">
        <v>209</v>
      </c>
      <c r="B16" s="817"/>
      <c r="C16" s="817"/>
      <c r="D16" s="817"/>
      <c r="E16" s="818"/>
      <c r="F16" s="260"/>
      <c r="G16" s="260"/>
      <c r="H16" s="366">
        <f>SUM(H6:H15)</f>
        <v>344740</v>
      </c>
      <c r="I16" s="260">
        <f>F6-H16</f>
        <v>5076</v>
      </c>
      <c r="J16" s="260">
        <f>SUM(J6:J15)</f>
        <v>12</v>
      </c>
      <c r="K16" s="260">
        <f>SUM(K6:K15)</f>
        <v>4221</v>
      </c>
      <c r="L16" s="261"/>
      <c r="M16" s="262">
        <f>+H16-K16</f>
        <v>340519</v>
      </c>
    </row>
  </sheetData>
  <mergeCells count="5">
    <mergeCell ref="A1:M1"/>
    <mergeCell ref="J4:J5"/>
    <mergeCell ref="K4:L4"/>
    <mergeCell ref="A16:E16"/>
    <mergeCell ref="A2:M2"/>
  </mergeCells>
  <hyperlinks>
    <hyperlink ref="H3" location="'ĐIỀU KHO 1.1'!K27" display="BILL 280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"/>
  <sheetViews>
    <sheetView topLeftCell="A7" workbookViewId="0">
      <selection activeCell="L12" sqref="L12"/>
    </sheetView>
  </sheetViews>
  <sheetFormatPr defaultRowHeight="15" x14ac:dyDescent="0.25"/>
  <cols>
    <col min="1" max="1" width="5.5703125" style="29" customWidth="1"/>
    <col min="2" max="2" width="13.7109375" style="29" customWidth="1"/>
    <col min="3" max="3" width="36.85546875" style="18" hidden="1" customWidth="1"/>
    <col min="4" max="4" width="17.42578125" customWidth="1"/>
    <col min="5" max="5" width="6.85546875" customWidth="1"/>
    <col min="6" max="6" width="14.28515625" customWidth="1"/>
    <col min="7" max="7" width="14.7109375" hidden="1" customWidth="1"/>
    <col min="8" max="8" width="14.140625" customWidth="1"/>
    <col min="9" max="9" width="14.42578125" customWidth="1"/>
    <col min="10" max="10" width="12.42578125" customWidth="1"/>
    <col min="11" max="12" width="11.5703125" customWidth="1"/>
    <col min="13" max="13" width="19.5703125" customWidth="1"/>
    <col min="14" max="14" width="19.42578125" customWidth="1"/>
  </cols>
  <sheetData>
    <row r="1" spans="1:15" s="52" customFormat="1" ht="22.5" x14ac:dyDescent="0.3">
      <c r="A1" s="812" t="s">
        <v>45</v>
      </c>
      <c r="B1" s="812"/>
      <c r="C1" s="812"/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5" s="52" customFormat="1" ht="22.5" x14ac:dyDescent="0.3">
      <c r="A2" s="188"/>
      <c r="B2" s="188"/>
      <c r="C2" s="188"/>
      <c r="D2" s="188"/>
      <c r="E2" s="188"/>
      <c r="F2" s="188" t="s">
        <v>66</v>
      </c>
      <c r="G2" s="188"/>
      <c r="H2" s="188"/>
      <c r="I2" s="188"/>
      <c r="J2" s="188"/>
      <c r="K2" s="188"/>
      <c r="L2" s="188"/>
      <c r="M2" s="188"/>
    </row>
    <row r="3" spans="1:15" s="52" customFormat="1" ht="22.5" x14ac:dyDescent="0.3">
      <c r="A3" s="188"/>
      <c r="B3" s="188"/>
      <c r="C3" s="188"/>
      <c r="D3" s="188"/>
      <c r="E3" s="188"/>
      <c r="F3" s="188"/>
      <c r="G3" s="188" t="s">
        <v>48</v>
      </c>
      <c r="H3" s="640" t="s">
        <v>389</v>
      </c>
      <c r="I3" s="188"/>
      <c r="J3" s="188"/>
      <c r="K3" s="188"/>
      <c r="L3" s="188"/>
      <c r="M3" s="188"/>
    </row>
    <row r="4" spans="1:15" s="1" customFormat="1" ht="60.75" x14ac:dyDescent="0.3">
      <c r="A4" s="38" t="s">
        <v>0</v>
      </c>
      <c r="B4" s="16" t="s">
        <v>38</v>
      </c>
      <c r="C4" s="16" t="s">
        <v>39</v>
      </c>
      <c r="D4" s="7" t="s">
        <v>3</v>
      </c>
      <c r="E4" s="7" t="s">
        <v>4</v>
      </c>
      <c r="F4" s="135" t="s">
        <v>6</v>
      </c>
      <c r="G4" s="187" t="s">
        <v>7</v>
      </c>
      <c r="H4" s="187" t="s">
        <v>8</v>
      </c>
      <c r="I4" s="187" t="s">
        <v>9</v>
      </c>
      <c r="J4" s="814" t="s">
        <v>47</v>
      </c>
      <c r="K4" s="752" t="s">
        <v>46</v>
      </c>
      <c r="L4" s="753"/>
      <c r="M4" s="7" t="s">
        <v>1</v>
      </c>
    </row>
    <row r="5" spans="1:15" s="1" customFormat="1" ht="32.25" x14ac:dyDescent="0.3">
      <c r="A5" s="39"/>
      <c r="B5" s="27"/>
      <c r="C5" s="16"/>
      <c r="D5" s="7"/>
      <c r="E5" s="7"/>
      <c r="F5" s="21" t="s">
        <v>13</v>
      </c>
      <c r="G5" s="21" t="s">
        <v>13</v>
      </c>
      <c r="H5" s="21" t="s">
        <v>13</v>
      </c>
      <c r="I5" s="21" t="s">
        <v>13</v>
      </c>
      <c r="J5" s="815"/>
      <c r="K5" s="21" t="s">
        <v>49</v>
      </c>
      <c r="L5" s="21" t="s">
        <v>50</v>
      </c>
      <c r="M5" s="7" t="s">
        <v>61</v>
      </c>
      <c r="N5" s="70"/>
    </row>
    <row r="6" spans="1:15" s="59" customFormat="1" ht="15.75" x14ac:dyDescent="0.25">
      <c r="A6" s="54" t="s">
        <v>32</v>
      </c>
      <c r="B6" s="55" t="s">
        <v>392</v>
      </c>
      <c r="C6" s="56"/>
      <c r="D6" s="57" t="s">
        <v>11</v>
      </c>
      <c r="E6" s="57" t="s">
        <v>10</v>
      </c>
      <c r="F6" s="200">
        <v>107268</v>
      </c>
      <c r="G6" s="33"/>
      <c r="H6" s="33">
        <f>101280</f>
        <v>101280</v>
      </c>
      <c r="I6" s="58">
        <f>F6-H6</f>
        <v>5988</v>
      </c>
      <c r="J6" s="60">
        <v>3</v>
      </c>
      <c r="K6" s="60">
        <f>423+420+420</f>
        <v>1263</v>
      </c>
      <c r="L6" s="60">
        <v>0</v>
      </c>
      <c r="M6" s="199" t="s">
        <v>393</v>
      </c>
      <c r="N6" s="70"/>
    </row>
    <row r="7" spans="1:15" s="59" customFormat="1" ht="15.75" x14ac:dyDescent="0.25">
      <c r="A7" s="54" t="s">
        <v>33</v>
      </c>
      <c r="B7" s="55" t="s">
        <v>392</v>
      </c>
      <c r="C7" s="56"/>
      <c r="D7" s="57" t="s">
        <v>11</v>
      </c>
      <c r="E7" s="57" t="s">
        <v>10</v>
      </c>
      <c r="F7" s="33">
        <f>I6</f>
        <v>5988</v>
      </c>
      <c r="G7" s="33"/>
      <c r="H7" s="33">
        <f>4360</f>
        <v>4360</v>
      </c>
      <c r="I7" s="58">
        <f>F7-H7</f>
        <v>1628</v>
      </c>
      <c r="J7" s="60">
        <v>1</v>
      </c>
      <c r="K7" s="60">
        <v>56</v>
      </c>
      <c r="L7" s="60">
        <v>0</v>
      </c>
      <c r="M7" s="199" t="s">
        <v>393</v>
      </c>
      <c r="N7" s="70"/>
    </row>
    <row r="8" spans="1:15" s="59" customFormat="1" ht="15.75" x14ac:dyDescent="0.25">
      <c r="A8" s="54" t="s">
        <v>34</v>
      </c>
      <c r="B8" s="192"/>
      <c r="C8" s="193"/>
      <c r="D8" s="57" t="s">
        <v>11</v>
      </c>
      <c r="E8" s="57" t="s">
        <v>10</v>
      </c>
      <c r="F8" s="194"/>
      <c r="G8" s="194"/>
      <c r="H8" s="194"/>
      <c r="I8" s="195"/>
      <c r="J8" s="196"/>
      <c r="K8" s="196"/>
      <c r="L8" s="196"/>
      <c r="M8" s="197"/>
      <c r="N8" s="70"/>
    </row>
    <row r="9" spans="1:15" s="4" customFormat="1" ht="20.25" x14ac:dyDescent="0.3">
      <c r="A9" s="843" t="s">
        <v>388</v>
      </c>
      <c r="B9" s="844"/>
      <c r="C9" s="844"/>
      <c r="D9" s="844"/>
      <c r="E9" s="845"/>
      <c r="F9" s="189"/>
      <c r="G9" s="189"/>
      <c r="H9" s="189">
        <f>SUM(H6:H8)</f>
        <v>105640</v>
      </c>
      <c r="I9" s="189">
        <f>F6-H9</f>
        <v>1628</v>
      </c>
      <c r="J9" s="189">
        <f>SUM(J6:J8)</f>
        <v>4</v>
      </c>
      <c r="K9" s="189">
        <f>SUM(K6:K8)</f>
        <v>1319</v>
      </c>
      <c r="L9" s="190"/>
      <c r="M9" s="191">
        <f>+H9-K9</f>
        <v>104321</v>
      </c>
      <c r="N9" s="70"/>
    </row>
    <row r="10" spans="1:15" s="12" customFormat="1" ht="15.75" x14ac:dyDescent="0.25">
      <c r="A10" s="54" t="s">
        <v>32</v>
      </c>
      <c r="B10" s="55"/>
      <c r="C10" s="56"/>
      <c r="D10" s="57" t="s">
        <v>11</v>
      </c>
      <c r="E10" s="57" t="s">
        <v>10</v>
      </c>
      <c r="F10" s="33"/>
      <c r="G10" s="33"/>
      <c r="H10" s="33"/>
      <c r="I10" s="58">
        <f>F10-H10</f>
        <v>0</v>
      </c>
      <c r="J10" s="60"/>
      <c r="K10" s="60"/>
      <c r="L10" s="60"/>
      <c r="M10" s="69"/>
      <c r="N10" s="70"/>
    </row>
    <row r="11" spans="1:15" s="12" customFormat="1" ht="15.75" x14ac:dyDescent="0.25">
      <c r="A11" s="54" t="s">
        <v>33</v>
      </c>
      <c r="B11" s="55"/>
      <c r="C11" s="56"/>
      <c r="D11" s="57" t="s">
        <v>11</v>
      </c>
      <c r="E11" s="57" t="s">
        <v>10</v>
      </c>
      <c r="F11" s="33"/>
      <c r="G11" s="33"/>
      <c r="H11" s="33"/>
      <c r="I11" s="58">
        <f t="shared" ref="I11:I12" si="0">F11-H11</f>
        <v>0</v>
      </c>
      <c r="J11" s="60"/>
      <c r="K11" s="60"/>
      <c r="L11" s="60"/>
      <c r="M11" s="69"/>
      <c r="N11" s="70"/>
    </row>
    <row r="12" spans="1:15" s="12" customFormat="1" ht="15.75" x14ac:dyDescent="0.25">
      <c r="A12" s="54" t="s">
        <v>34</v>
      </c>
      <c r="B12" s="55"/>
      <c r="C12" s="56"/>
      <c r="D12" s="57" t="s">
        <v>11</v>
      </c>
      <c r="E12" s="57" t="s">
        <v>10</v>
      </c>
      <c r="F12" s="33"/>
      <c r="G12" s="33"/>
      <c r="H12" s="33"/>
      <c r="I12" s="58">
        <f t="shared" si="0"/>
        <v>0</v>
      </c>
      <c r="J12" s="60"/>
      <c r="K12" s="60"/>
      <c r="L12" s="60"/>
      <c r="M12" s="69"/>
      <c r="N12" s="70"/>
    </row>
    <row r="13" spans="1:15" s="12" customFormat="1" ht="20.25" x14ac:dyDescent="0.3">
      <c r="A13" s="843" t="s">
        <v>391</v>
      </c>
      <c r="B13" s="844"/>
      <c r="C13" s="844"/>
      <c r="D13" s="844"/>
      <c r="E13" s="845"/>
      <c r="F13" s="189"/>
      <c r="G13" s="189"/>
      <c r="H13" s="189">
        <f>SUM(H10:H12)</f>
        <v>0</v>
      </c>
      <c r="I13" s="189"/>
      <c r="J13" s="189">
        <f>SUM(J10:J12)</f>
        <v>0</v>
      </c>
      <c r="K13" s="189">
        <f>SUM(K10:K12)</f>
        <v>0</v>
      </c>
      <c r="L13" s="190"/>
      <c r="M13" s="191">
        <f>+H13-K13</f>
        <v>0</v>
      </c>
      <c r="N13" s="4"/>
    </row>
    <row r="14" spans="1:15" s="12" customFormat="1" ht="15.75" x14ac:dyDescent="0.25">
      <c r="A14" s="28" t="s">
        <v>390</v>
      </c>
      <c r="B14" s="30"/>
      <c r="C14" s="17"/>
      <c r="D14" s="57" t="s">
        <v>11</v>
      </c>
      <c r="E14" s="57" t="s">
        <v>10</v>
      </c>
      <c r="F14" s="33"/>
      <c r="G14" s="14"/>
      <c r="H14" s="14"/>
      <c r="I14" s="58">
        <v>0</v>
      </c>
      <c r="J14" s="22"/>
      <c r="K14" s="22"/>
      <c r="L14" s="22"/>
      <c r="M14" s="69"/>
      <c r="N14" s="71"/>
    </row>
    <row r="15" spans="1:15" s="12" customFormat="1" ht="15.75" x14ac:dyDescent="0.25">
      <c r="A15" s="28"/>
      <c r="B15" s="30"/>
      <c r="C15" s="17"/>
      <c r="D15" s="57" t="s">
        <v>11</v>
      </c>
      <c r="E15" s="57" t="s">
        <v>10</v>
      </c>
      <c r="F15" s="33"/>
      <c r="G15" s="14"/>
      <c r="H15" s="14"/>
      <c r="I15" s="58"/>
      <c r="J15" s="22"/>
      <c r="K15" s="22"/>
      <c r="L15" s="22"/>
      <c r="M15" s="69"/>
      <c r="N15" s="71"/>
      <c r="O15" s="198"/>
    </row>
    <row r="16" spans="1:15" s="12" customFormat="1" ht="15.75" x14ac:dyDescent="0.25">
      <c r="A16" s="28"/>
      <c r="B16" s="30"/>
      <c r="C16" s="17"/>
      <c r="D16" s="57" t="s">
        <v>11</v>
      </c>
      <c r="E16" s="57" t="s">
        <v>10</v>
      </c>
      <c r="F16" s="33"/>
      <c r="G16" s="14"/>
      <c r="H16" s="14"/>
      <c r="I16" s="58"/>
      <c r="J16" s="22"/>
      <c r="K16" s="22"/>
      <c r="L16" s="22"/>
      <c r="M16" s="69"/>
      <c r="N16" s="71"/>
    </row>
    <row r="17" spans="1:14" s="12" customFormat="1" ht="15.75" x14ac:dyDescent="0.25">
      <c r="A17" s="28"/>
      <c r="B17" s="30"/>
      <c r="C17" s="17"/>
      <c r="D17" s="57" t="s">
        <v>11</v>
      </c>
      <c r="E17" s="57" t="s">
        <v>10</v>
      </c>
      <c r="F17" s="33"/>
      <c r="G17" s="14"/>
      <c r="H17" s="14"/>
      <c r="I17" s="58"/>
      <c r="J17" s="22"/>
      <c r="K17" s="22"/>
      <c r="L17" s="22"/>
      <c r="M17" s="69"/>
      <c r="N17" s="71"/>
    </row>
    <row r="18" spans="1:14" s="12" customFormat="1" ht="15.75" x14ac:dyDescent="0.25">
      <c r="A18" s="28"/>
      <c r="B18" s="30"/>
      <c r="C18" s="17"/>
      <c r="D18" s="57" t="s">
        <v>11</v>
      </c>
      <c r="E18" s="57" t="s">
        <v>10</v>
      </c>
      <c r="F18" s="33"/>
      <c r="G18" s="14"/>
      <c r="H18" s="14"/>
      <c r="I18" s="58"/>
      <c r="J18" s="22"/>
      <c r="K18" s="22"/>
      <c r="L18" s="22"/>
      <c r="M18" s="69"/>
      <c r="N18" s="71"/>
    </row>
    <row r="19" spans="1:14" s="12" customFormat="1" ht="15.75" x14ac:dyDescent="0.25">
      <c r="A19" s="28"/>
      <c r="B19" s="30"/>
      <c r="C19" s="17"/>
      <c r="D19" s="57" t="s">
        <v>11</v>
      </c>
      <c r="E19" s="57" t="s">
        <v>10</v>
      </c>
      <c r="F19" s="33"/>
      <c r="G19" s="14"/>
      <c r="H19" s="14"/>
      <c r="I19" s="58"/>
      <c r="J19" s="22"/>
      <c r="K19" s="22"/>
      <c r="L19" s="22"/>
      <c r="M19" s="69"/>
      <c r="N19" s="139"/>
    </row>
    <row r="20" spans="1:14" s="4" customFormat="1" ht="18.75" customHeight="1" x14ac:dyDescent="0.3">
      <c r="A20" s="802" t="s">
        <v>242</v>
      </c>
      <c r="B20" s="803"/>
      <c r="C20" s="803"/>
      <c r="D20" s="803"/>
      <c r="E20" s="804"/>
      <c r="F20" s="6"/>
      <c r="G20" s="6"/>
      <c r="H20" s="6">
        <f>SUM(H14:H19)</f>
        <v>0</v>
      </c>
      <c r="I20" s="6"/>
      <c r="J20" s="6"/>
      <c r="K20" s="6">
        <f>SUM(K14:K19)</f>
        <v>0</v>
      </c>
      <c r="L20" s="23"/>
      <c r="M20" s="72">
        <f>+H20-K20</f>
        <v>0</v>
      </c>
    </row>
    <row r="21" spans="1:14" s="4" customFormat="1" ht="18.75" customHeight="1" x14ac:dyDescent="0.3">
      <c r="A21" s="802" t="s">
        <v>209</v>
      </c>
      <c r="B21" s="803"/>
      <c r="C21" s="803"/>
      <c r="D21" s="803"/>
      <c r="E21" s="804"/>
      <c r="F21" s="6"/>
      <c r="G21" s="6"/>
      <c r="H21" s="6">
        <f>+H9+H13</f>
        <v>105640</v>
      </c>
      <c r="I21" s="6"/>
      <c r="J21" s="6">
        <f>+J9+J13</f>
        <v>4</v>
      </c>
      <c r="K21" s="6">
        <f>+K9+K13</f>
        <v>1319</v>
      </c>
      <c r="L21" s="23"/>
      <c r="M21" s="72">
        <f>+H21-K21</f>
        <v>104321</v>
      </c>
    </row>
    <row r="22" spans="1:14" s="4" customFormat="1" ht="20.25" x14ac:dyDescent="0.3">
      <c r="A22" s="41"/>
      <c r="B22" s="41"/>
      <c r="C22" s="41"/>
      <c r="D22" s="41"/>
      <c r="E22" s="41"/>
      <c r="F22" s="42"/>
      <c r="G22" s="42"/>
      <c r="H22" s="42"/>
      <c r="I22" s="42"/>
      <c r="J22" s="42"/>
      <c r="K22" s="42"/>
      <c r="L22" s="42"/>
      <c r="M22" s="43"/>
    </row>
    <row r="23" spans="1:14" x14ac:dyDescent="0.25">
      <c r="F23" s="19"/>
    </row>
    <row r="24" spans="1:14" x14ac:dyDescent="0.25">
      <c r="F24" s="34"/>
      <c r="G24" s="19"/>
      <c r="H24" s="19"/>
      <c r="I24" s="19"/>
      <c r="J24" s="19"/>
      <c r="K24" s="19"/>
      <c r="L24" s="19"/>
    </row>
    <row r="25" spans="1:14" x14ac:dyDescent="0.25">
      <c r="F25" s="19"/>
      <c r="G25" s="19"/>
    </row>
    <row r="26" spans="1:14" s="19" customFormat="1" x14ac:dyDescent="0.25">
      <c r="A26" s="29"/>
      <c r="B26" s="29"/>
      <c r="C26" s="18"/>
      <c r="D26"/>
      <c r="E26"/>
      <c r="F26" s="34"/>
      <c r="G26"/>
      <c r="I26"/>
      <c r="J26"/>
      <c r="K26"/>
      <c r="L26"/>
      <c r="M26"/>
    </row>
    <row r="27" spans="1:14" s="19" customFormat="1" x14ac:dyDescent="0.25">
      <c r="A27" s="29"/>
      <c r="B27" s="29"/>
      <c r="C27" s="18"/>
      <c r="D27"/>
      <c r="E27"/>
      <c r="F27" s="35"/>
      <c r="G27"/>
      <c r="H27"/>
      <c r="I27"/>
      <c r="J27"/>
      <c r="K27"/>
      <c r="L27"/>
      <c r="M27"/>
    </row>
    <row r="28" spans="1:14" s="19" customFormat="1" x14ac:dyDescent="0.25">
      <c r="A28" s="29"/>
      <c r="B28" s="29"/>
      <c r="C28" s="18"/>
      <c r="D28"/>
      <c r="E28"/>
      <c r="G28"/>
      <c r="I28"/>
      <c r="J28"/>
      <c r="K28"/>
      <c r="L28"/>
      <c r="M28"/>
    </row>
    <row r="29" spans="1:14" s="19" customFormat="1" x14ac:dyDescent="0.25">
      <c r="A29" s="29"/>
      <c r="B29" s="29"/>
      <c r="C29" s="18"/>
      <c r="D29"/>
      <c r="E29"/>
      <c r="G29"/>
      <c r="H29"/>
      <c r="I29"/>
      <c r="J29"/>
      <c r="K29"/>
      <c r="L29"/>
      <c r="M29"/>
    </row>
  </sheetData>
  <mergeCells count="7">
    <mergeCell ref="A21:E21"/>
    <mergeCell ref="A1:M1"/>
    <mergeCell ref="J4:J5"/>
    <mergeCell ref="K4:L4"/>
    <mergeCell ref="A9:E9"/>
    <mergeCell ref="A13:E13"/>
    <mergeCell ref="A20:E20"/>
  </mergeCells>
  <hyperlinks>
    <hyperlink ref="H3" location="'ĐIỀU KHO 2.3'!A6" display="BILL 9011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P1234"/>
  <sheetViews>
    <sheetView showGridLines="0" zoomScaleNormal="100" workbookViewId="0">
      <pane ySplit="1" topLeftCell="A53" activePane="bottomLeft" state="frozen"/>
      <selection activeCell="J19" sqref="J19"/>
      <selection pane="bottomLeft" activeCell="M68" sqref="M68"/>
    </sheetView>
  </sheetViews>
  <sheetFormatPr defaultRowHeight="15" x14ac:dyDescent="0.25"/>
  <cols>
    <col min="1" max="1" width="3.42578125" style="3" customWidth="1"/>
    <col min="2" max="2" width="10.140625" style="359" customWidth="1"/>
    <col min="3" max="3" width="37.42578125" style="3" bestFit="1" customWidth="1"/>
    <col min="4" max="4" width="6" style="491" customWidth="1"/>
    <col min="5" max="5" width="16.85546875" style="3" customWidth="1"/>
    <col min="6" max="6" width="5.42578125" style="3" customWidth="1"/>
    <col min="7" max="7" width="14" style="3" customWidth="1"/>
    <col min="8" max="8" width="13.7109375" style="166" customWidth="1"/>
    <col min="9" max="9" width="10.7109375" style="3" customWidth="1"/>
    <col min="10" max="10" width="9.28515625" style="3" customWidth="1"/>
    <col min="11" max="11" width="12.7109375" style="3" customWidth="1"/>
    <col min="12" max="12" width="11.5703125" style="166" customWidth="1"/>
    <col min="13" max="13" width="13" style="165" bestFit="1" customWidth="1"/>
    <col min="14" max="14" width="11.5703125" style="165" customWidth="1"/>
    <col min="15" max="15" width="12" style="2" customWidth="1"/>
    <col min="16" max="16384" width="9.140625" style="3"/>
  </cols>
  <sheetData>
    <row r="1" spans="1:15" s="1" customFormat="1" ht="52.5" customHeight="1" x14ac:dyDescent="0.3">
      <c r="A1" s="38" t="s">
        <v>0</v>
      </c>
      <c r="B1" s="420" t="s">
        <v>38</v>
      </c>
      <c r="C1" s="104" t="s">
        <v>39</v>
      </c>
      <c r="D1" s="472" t="s">
        <v>64</v>
      </c>
      <c r="E1" s="105" t="s">
        <v>3</v>
      </c>
      <c r="F1" s="105" t="s">
        <v>4</v>
      </c>
      <c r="G1" s="434" t="s">
        <v>743</v>
      </c>
      <c r="H1" s="435" t="s">
        <v>6</v>
      </c>
      <c r="I1" s="754" t="s">
        <v>7</v>
      </c>
      <c r="J1" s="756"/>
      <c r="K1" s="754" t="s">
        <v>8</v>
      </c>
      <c r="L1" s="756"/>
      <c r="M1" s="754" t="s">
        <v>59</v>
      </c>
      <c r="N1" s="755"/>
      <c r="O1" s="436" t="s">
        <v>1</v>
      </c>
    </row>
    <row r="2" spans="1:15" s="1" customFormat="1" ht="21" customHeight="1" x14ac:dyDescent="0.3">
      <c r="A2" s="438"/>
      <c r="B2" s="213"/>
      <c r="C2" s="16"/>
      <c r="D2" s="473" t="s">
        <v>130</v>
      </c>
      <c r="E2" s="7"/>
      <c r="F2" s="7"/>
      <c r="G2" s="325" t="s">
        <v>13</v>
      </c>
      <c r="H2" s="439" t="s">
        <v>13</v>
      </c>
      <c r="I2" s="21" t="s">
        <v>51</v>
      </c>
      <c r="J2" s="21" t="s">
        <v>53</v>
      </c>
      <c r="K2" s="21" t="s">
        <v>51</v>
      </c>
      <c r="L2" s="439" t="s">
        <v>52</v>
      </c>
      <c r="M2" s="440" t="s">
        <v>13</v>
      </c>
      <c r="N2" s="7"/>
      <c r="O2" s="123"/>
    </row>
    <row r="3" spans="1:15" s="147" customFormat="1" ht="16.5" x14ac:dyDescent="0.25">
      <c r="A3" s="757" t="s">
        <v>400</v>
      </c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9"/>
      <c r="M3" s="437">
        <v>105320</v>
      </c>
      <c r="N3" s="433"/>
      <c r="O3" s="447"/>
    </row>
    <row r="4" spans="1:15" s="90" customFormat="1" ht="15.75" x14ac:dyDescent="0.25">
      <c r="A4" s="54" t="s">
        <v>231</v>
      </c>
      <c r="B4" s="183" t="s">
        <v>308</v>
      </c>
      <c r="C4" s="106" t="s">
        <v>318</v>
      </c>
      <c r="D4" s="474" t="s">
        <v>67</v>
      </c>
      <c r="E4" s="57" t="s">
        <v>54</v>
      </c>
      <c r="F4" s="57" t="s">
        <v>10</v>
      </c>
      <c r="G4" s="342"/>
      <c r="H4" s="346">
        <v>379910</v>
      </c>
      <c r="I4" s="142"/>
      <c r="J4" s="33"/>
      <c r="K4" s="133"/>
      <c r="L4" s="201">
        <v>379030</v>
      </c>
      <c r="M4" s="14">
        <v>880</v>
      </c>
      <c r="N4" s="430"/>
      <c r="O4" s="429" t="s">
        <v>232</v>
      </c>
    </row>
    <row r="5" spans="1:15" s="59" customFormat="1" ht="15.75" x14ac:dyDescent="0.25">
      <c r="A5" s="28" t="s">
        <v>22</v>
      </c>
      <c r="B5" s="31" t="s">
        <v>248</v>
      </c>
      <c r="C5" s="87" t="s">
        <v>247</v>
      </c>
      <c r="D5" s="475" t="s">
        <v>183</v>
      </c>
      <c r="E5" s="9" t="s">
        <v>54</v>
      </c>
      <c r="F5" s="9" t="s">
        <v>10</v>
      </c>
      <c r="G5" s="342"/>
      <c r="H5" s="346">
        <v>639150</v>
      </c>
      <c r="I5" s="177"/>
      <c r="J5" s="14"/>
      <c r="K5" s="5"/>
      <c r="L5" s="201">
        <v>640820</v>
      </c>
      <c r="M5" s="14">
        <v>-1670</v>
      </c>
      <c r="N5" s="430"/>
      <c r="O5" s="429" t="s">
        <v>210</v>
      </c>
    </row>
    <row r="6" spans="1:15" ht="15.75" x14ac:dyDescent="0.25">
      <c r="A6" s="54" t="s">
        <v>199</v>
      </c>
      <c r="B6" s="183" t="s">
        <v>259</v>
      </c>
      <c r="C6" s="184" t="s">
        <v>260</v>
      </c>
      <c r="D6" s="474" t="s">
        <v>74</v>
      </c>
      <c r="E6" s="57" t="s">
        <v>54</v>
      </c>
      <c r="F6" s="57" t="s">
        <v>10</v>
      </c>
      <c r="G6" s="342"/>
      <c r="H6" s="346">
        <v>264070</v>
      </c>
      <c r="I6" s="142"/>
      <c r="J6" s="33"/>
      <c r="K6" s="133"/>
      <c r="L6" s="201">
        <v>262080</v>
      </c>
      <c r="M6" s="14">
        <v>1990</v>
      </c>
      <c r="N6" s="430"/>
      <c r="O6" s="444">
        <v>1990</v>
      </c>
    </row>
    <row r="7" spans="1:15" ht="15.75" x14ac:dyDescent="0.25">
      <c r="A7" s="28" t="s">
        <v>20</v>
      </c>
      <c r="B7" s="282" t="s">
        <v>738</v>
      </c>
      <c r="C7" s="286" t="s">
        <v>735</v>
      </c>
      <c r="D7" s="475" t="s">
        <v>186</v>
      </c>
      <c r="E7" s="9" t="s">
        <v>54</v>
      </c>
      <c r="F7" s="9" t="s">
        <v>10</v>
      </c>
      <c r="G7" s="342"/>
      <c r="H7" s="346">
        <v>25570</v>
      </c>
      <c r="I7" s="177"/>
      <c r="J7" s="14"/>
      <c r="K7" s="5">
        <v>2700</v>
      </c>
      <c r="L7" s="201">
        <v>24360</v>
      </c>
      <c r="M7" s="14">
        <v>1210</v>
      </c>
      <c r="N7" s="430"/>
      <c r="O7" s="444" t="s">
        <v>57</v>
      </c>
    </row>
    <row r="8" spans="1:15" s="90" customFormat="1" ht="15.75" x14ac:dyDescent="0.25">
      <c r="A8" s="54" t="s">
        <v>239</v>
      </c>
      <c r="B8" s="287" t="s">
        <v>330</v>
      </c>
      <c r="C8" s="288" t="s">
        <v>331</v>
      </c>
      <c r="D8" s="476" t="s">
        <v>134</v>
      </c>
      <c r="E8" s="57" t="s">
        <v>54</v>
      </c>
      <c r="F8" s="57" t="s">
        <v>10</v>
      </c>
      <c r="G8" s="342"/>
      <c r="H8" s="346">
        <v>235100</v>
      </c>
      <c r="I8" s="427"/>
      <c r="J8" s="57"/>
      <c r="K8" s="57"/>
      <c r="L8" s="349">
        <v>232900</v>
      </c>
      <c r="M8" s="14">
        <v>2200</v>
      </c>
      <c r="N8" s="430" t="s">
        <v>332</v>
      </c>
      <c r="O8" s="444">
        <v>2200</v>
      </c>
    </row>
    <row r="9" spans="1:15" s="90" customFormat="1" ht="15.75" x14ac:dyDescent="0.25">
      <c r="A9" s="28" t="s">
        <v>228</v>
      </c>
      <c r="B9" s="31" t="s">
        <v>280</v>
      </c>
      <c r="C9" s="87" t="s">
        <v>281</v>
      </c>
      <c r="D9" s="477" t="s">
        <v>74</v>
      </c>
      <c r="E9" s="295" t="s">
        <v>54</v>
      </c>
      <c r="F9" s="295" t="s">
        <v>10</v>
      </c>
      <c r="G9" s="326"/>
      <c r="H9" s="32">
        <f>105000+157590+130670+104490</f>
        <v>497750</v>
      </c>
      <c r="I9" s="177"/>
      <c r="J9" s="14"/>
      <c r="K9" s="5"/>
      <c r="L9" s="201">
        <f>'[1]037C'!H14</f>
        <v>494040</v>
      </c>
      <c r="M9" s="14">
        <f t="shared" ref="M9:M15" si="0">H9+J9-L9</f>
        <v>3710</v>
      </c>
      <c r="N9" s="431" t="s">
        <v>163</v>
      </c>
      <c r="O9" s="444">
        <f t="shared" ref="O9:O15" si="1">H9+(I9+J9)-(K9+L9)</f>
        <v>3710</v>
      </c>
    </row>
    <row r="10" spans="1:15" ht="15.75" x14ac:dyDescent="0.25">
      <c r="A10" s="28" t="s">
        <v>325</v>
      </c>
      <c r="B10" s="31" t="s">
        <v>412</v>
      </c>
      <c r="C10" s="388" t="s">
        <v>413</v>
      </c>
      <c r="D10" s="477" t="s">
        <v>74</v>
      </c>
      <c r="E10" s="295" t="s">
        <v>54</v>
      </c>
      <c r="F10" s="295" t="s">
        <v>10</v>
      </c>
      <c r="G10" s="326"/>
      <c r="H10" s="32">
        <f>25950+134920+133310</f>
        <v>294180</v>
      </c>
      <c r="I10" s="177"/>
      <c r="J10" s="14"/>
      <c r="K10" s="5"/>
      <c r="L10" s="201">
        <v>292230</v>
      </c>
      <c r="M10" s="14">
        <f t="shared" si="0"/>
        <v>1950</v>
      </c>
      <c r="N10" s="431" t="s">
        <v>16</v>
      </c>
      <c r="O10" s="444">
        <f t="shared" si="1"/>
        <v>1950</v>
      </c>
    </row>
    <row r="11" spans="1:15" ht="15.75" x14ac:dyDescent="0.25">
      <c r="A11" s="28" t="s">
        <v>28</v>
      </c>
      <c r="B11" s="31" t="s">
        <v>458</v>
      </c>
      <c r="C11" s="389" t="s">
        <v>460</v>
      </c>
      <c r="D11" s="477" t="s">
        <v>134</v>
      </c>
      <c r="E11" s="295" t="s">
        <v>54</v>
      </c>
      <c r="F11" s="295" t="s">
        <v>10</v>
      </c>
      <c r="G11" s="326"/>
      <c r="H11" s="32">
        <f>79170+75990</f>
        <v>155160</v>
      </c>
      <c r="I11" s="177"/>
      <c r="J11" s="14"/>
      <c r="K11" s="5"/>
      <c r="L11" s="201">
        <f>'[2]122G'!H14</f>
        <v>153750</v>
      </c>
      <c r="M11" s="14">
        <f t="shared" si="0"/>
        <v>1410</v>
      </c>
      <c r="N11" s="431" t="s">
        <v>58</v>
      </c>
      <c r="O11" s="444">
        <f t="shared" si="1"/>
        <v>1410</v>
      </c>
    </row>
    <row r="12" spans="1:15" ht="15.75" x14ac:dyDescent="0.25">
      <c r="A12" s="28" t="s">
        <v>199</v>
      </c>
      <c r="B12" s="282" t="s">
        <v>788</v>
      </c>
      <c r="C12" s="286" t="s">
        <v>789</v>
      </c>
      <c r="D12" s="477" t="s">
        <v>67</v>
      </c>
      <c r="E12" s="374" t="s">
        <v>54</v>
      </c>
      <c r="F12" s="299" t="s">
        <v>10</v>
      </c>
      <c r="G12" s="375">
        <v>271950</v>
      </c>
      <c r="H12" s="32">
        <f>82530+162620+28030</f>
        <v>273180</v>
      </c>
      <c r="I12" s="428"/>
      <c r="J12" s="167"/>
      <c r="K12" s="285"/>
      <c r="L12" s="407">
        <v>271220</v>
      </c>
      <c r="M12" s="167">
        <f t="shared" si="0"/>
        <v>1960</v>
      </c>
      <c r="N12" s="432" t="s">
        <v>40</v>
      </c>
      <c r="O12" s="445">
        <f t="shared" si="1"/>
        <v>1960</v>
      </c>
    </row>
    <row r="13" spans="1:15" ht="15.75" x14ac:dyDescent="0.25">
      <c r="A13" s="28" t="s">
        <v>193</v>
      </c>
      <c r="B13" s="282" t="s">
        <v>706</v>
      </c>
      <c r="C13" s="73" t="s">
        <v>707</v>
      </c>
      <c r="D13" s="477" t="s">
        <v>74</v>
      </c>
      <c r="E13" s="374" t="s">
        <v>54</v>
      </c>
      <c r="F13" s="299" t="s">
        <v>10</v>
      </c>
      <c r="G13" s="375"/>
      <c r="H13" s="32">
        <f>162600+108170</f>
        <v>270770</v>
      </c>
      <c r="I13" s="428"/>
      <c r="J13" s="167"/>
      <c r="K13" s="285"/>
      <c r="L13" s="407">
        <v>268300</v>
      </c>
      <c r="M13" s="167">
        <f t="shared" si="0"/>
        <v>2470</v>
      </c>
      <c r="N13" s="432" t="s">
        <v>708</v>
      </c>
      <c r="O13" s="445">
        <f t="shared" si="1"/>
        <v>2470</v>
      </c>
    </row>
    <row r="14" spans="1:15" s="12" customFormat="1" ht="15.75" x14ac:dyDescent="0.25">
      <c r="A14" s="28" t="s">
        <v>32</v>
      </c>
      <c r="B14" s="31" t="s">
        <v>813</v>
      </c>
      <c r="C14" s="271" t="s">
        <v>187</v>
      </c>
      <c r="D14" s="477" t="s">
        <v>186</v>
      </c>
      <c r="E14" s="295" t="s">
        <v>54</v>
      </c>
      <c r="F14" s="295" t="s">
        <v>10</v>
      </c>
      <c r="G14" s="326"/>
      <c r="H14" s="32">
        <f>26660+130370+182820+157040+25970</f>
        <v>522860</v>
      </c>
      <c r="I14" s="177"/>
      <c r="J14" s="14"/>
      <c r="K14" s="269"/>
      <c r="L14" s="270">
        <v>513880</v>
      </c>
      <c r="M14" s="14">
        <f t="shared" si="0"/>
        <v>8980</v>
      </c>
      <c r="N14" s="431" t="s">
        <v>12</v>
      </c>
      <c r="O14" s="444">
        <f t="shared" si="1"/>
        <v>8980</v>
      </c>
    </row>
    <row r="15" spans="1:15" ht="15.75" x14ac:dyDescent="0.25">
      <c r="A15" s="28" t="s">
        <v>23</v>
      </c>
      <c r="B15" s="31" t="s">
        <v>386</v>
      </c>
      <c r="C15" s="271" t="s">
        <v>699</v>
      </c>
      <c r="D15" s="477" t="s">
        <v>134</v>
      </c>
      <c r="E15" s="295" t="s">
        <v>54</v>
      </c>
      <c r="F15" s="295" t="s">
        <v>10</v>
      </c>
      <c r="G15" s="326"/>
      <c r="H15" s="32">
        <f>24140+129540+53720+78220+156640+75630</f>
        <v>517890</v>
      </c>
      <c r="I15" s="177"/>
      <c r="J15" s="14"/>
      <c r="K15" s="5"/>
      <c r="L15" s="201">
        <v>513510</v>
      </c>
      <c r="M15" s="14">
        <f t="shared" si="0"/>
        <v>4380</v>
      </c>
      <c r="N15" s="431" t="s">
        <v>12</v>
      </c>
      <c r="O15" s="444">
        <f t="shared" si="1"/>
        <v>4380</v>
      </c>
    </row>
    <row r="16" spans="1:15" x14ac:dyDescent="0.25">
      <c r="A16" s="151" t="s">
        <v>196</v>
      </c>
      <c r="B16" s="356" t="s">
        <v>756</v>
      </c>
      <c r="C16" s="151" t="s">
        <v>758</v>
      </c>
      <c r="D16" s="478" t="s">
        <v>67</v>
      </c>
      <c r="E16" s="151" t="s">
        <v>54</v>
      </c>
      <c r="F16" s="151" t="s">
        <v>10</v>
      </c>
      <c r="G16" s="151">
        <v>263820</v>
      </c>
      <c r="H16" s="254">
        <v>261590</v>
      </c>
      <c r="I16" s="151"/>
      <c r="J16" s="151"/>
      <c r="K16" s="151"/>
      <c r="L16" s="255">
        <v>259270</v>
      </c>
      <c r="M16" s="153">
        <v>2320</v>
      </c>
      <c r="N16" s="153" t="s">
        <v>40</v>
      </c>
      <c r="O16" s="2">
        <v>2320</v>
      </c>
    </row>
    <row r="17" spans="1:15" ht="15.75" x14ac:dyDescent="0.25">
      <c r="A17" s="28" t="s">
        <v>202</v>
      </c>
      <c r="B17" s="282" t="s">
        <v>832</v>
      </c>
      <c r="C17" s="286" t="s">
        <v>835</v>
      </c>
      <c r="D17" s="477" t="s">
        <v>74</v>
      </c>
      <c r="E17" s="374" t="s">
        <v>54</v>
      </c>
      <c r="F17" s="299" t="s">
        <v>10</v>
      </c>
      <c r="G17" s="375">
        <v>273340</v>
      </c>
      <c r="H17" s="302">
        <f>27600+192370+53130</f>
        <v>273100</v>
      </c>
      <c r="I17" s="284"/>
      <c r="J17" s="167"/>
      <c r="K17" s="285"/>
      <c r="L17" s="407">
        <f>'[3]7300'!H14</f>
        <v>271360</v>
      </c>
      <c r="M17" s="167">
        <f>H17+J17-L17</f>
        <v>1740</v>
      </c>
      <c r="N17" s="322" t="s">
        <v>40</v>
      </c>
      <c r="O17" s="167">
        <f>H17+(I17+J17)-(K17+L17)</f>
        <v>1740</v>
      </c>
    </row>
    <row r="18" spans="1:15" x14ac:dyDescent="0.25">
      <c r="A18" s="426" t="s">
        <v>33</v>
      </c>
      <c r="B18" s="356" t="s">
        <v>812</v>
      </c>
      <c r="C18" s="151" t="s">
        <v>736</v>
      </c>
      <c r="D18" s="478" t="s">
        <v>439</v>
      </c>
      <c r="E18" s="151" t="s">
        <v>54</v>
      </c>
      <c r="F18" s="151" t="s">
        <v>10</v>
      </c>
      <c r="G18" s="343"/>
      <c r="H18" s="254">
        <v>79710</v>
      </c>
      <c r="I18" s="151">
        <v>1950</v>
      </c>
      <c r="J18" s="151"/>
      <c r="K18" s="151">
        <v>1680</v>
      </c>
      <c r="L18" s="255">
        <v>79010</v>
      </c>
      <c r="M18" s="153">
        <v>700</v>
      </c>
      <c r="N18" s="463" t="s">
        <v>204</v>
      </c>
      <c r="O18" s="2">
        <v>970</v>
      </c>
    </row>
    <row r="19" spans="1:15" ht="15.75" x14ac:dyDescent="0.25">
      <c r="A19" s="28" t="s">
        <v>428</v>
      </c>
      <c r="B19" s="31" t="s">
        <v>395</v>
      </c>
      <c r="C19" s="87" t="s">
        <v>394</v>
      </c>
      <c r="D19" s="305" t="s">
        <v>67</v>
      </c>
      <c r="E19" s="295" t="s">
        <v>54</v>
      </c>
      <c r="F19" s="295" t="s">
        <v>10</v>
      </c>
      <c r="G19" s="326"/>
      <c r="H19" s="32">
        <f>27490+162740</f>
        <v>190230</v>
      </c>
      <c r="I19" s="25"/>
      <c r="J19" s="14"/>
      <c r="K19" s="5"/>
      <c r="L19" s="201">
        <f>'[4]3979'!H8</f>
        <v>187650</v>
      </c>
      <c r="M19" s="14">
        <f>H19+J19-L19</f>
        <v>2580</v>
      </c>
      <c r="N19" s="274" t="s">
        <v>185</v>
      </c>
      <c r="O19" s="14">
        <f>H19+(I19+J19)-(K19+L19)</f>
        <v>2580</v>
      </c>
    </row>
    <row r="20" spans="1:15" ht="15.75" x14ac:dyDescent="0.25">
      <c r="A20" s="28" t="s">
        <v>22</v>
      </c>
      <c r="B20" s="31" t="s">
        <v>312</v>
      </c>
      <c r="C20" s="87" t="s">
        <v>314</v>
      </c>
      <c r="D20" s="305" t="s">
        <v>74</v>
      </c>
      <c r="E20" s="295" t="s">
        <v>54</v>
      </c>
      <c r="F20" s="295" t="s">
        <v>10</v>
      </c>
      <c r="G20" s="326"/>
      <c r="H20" s="32">
        <f>80590+80340+51970</f>
        <v>212900</v>
      </c>
      <c r="I20" s="25"/>
      <c r="J20" s="14"/>
      <c r="K20" s="5"/>
      <c r="L20" s="201">
        <f>'[4]8905'!H14</f>
        <v>209910</v>
      </c>
      <c r="M20" s="14">
        <f>H20+J20-L20</f>
        <v>2990</v>
      </c>
      <c r="N20" s="274" t="s">
        <v>315</v>
      </c>
      <c r="O20" s="14">
        <f>H20+(I20+J20)-(K20+L20)</f>
        <v>2990</v>
      </c>
    </row>
    <row r="21" spans="1:15" ht="15.75" x14ac:dyDescent="0.25">
      <c r="A21" s="28" t="s">
        <v>26</v>
      </c>
      <c r="B21" s="31" t="s">
        <v>445</v>
      </c>
      <c r="C21" s="87" t="s">
        <v>447</v>
      </c>
      <c r="D21" s="305" t="s">
        <v>74</v>
      </c>
      <c r="E21" s="295" t="s">
        <v>54</v>
      </c>
      <c r="F21" s="295" t="s">
        <v>10</v>
      </c>
      <c r="G21" s="326"/>
      <c r="H21" s="32">
        <f>156760+53160</f>
        <v>209920</v>
      </c>
      <c r="I21" s="143"/>
      <c r="J21" s="14"/>
      <c r="K21" s="5"/>
      <c r="L21" s="201">
        <f>'[4]042I'!H14</f>
        <v>205470</v>
      </c>
      <c r="M21" s="14">
        <f>H21+J21-L21</f>
        <v>4450</v>
      </c>
      <c r="N21" s="274" t="s">
        <v>315</v>
      </c>
      <c r="O21" s="14">
        <f>H21+(I21+J21)-(K21+L21)</f>
        <v>4450</v>
      </c>
    </row>
    <row r="22" spans="1:15" ht="15.75" x14ac:dyDescent="0.25">
      <c r="A22" s="28" t="s">
        <v>17</v>
      </c>
      <c r="B22" s="31" t="s">
        <v>263</v>
      </c>
      <c r="C22" s="87" t="s">
        <v>266</v>
      </c>
      <c r="D22" s="305" t="s">
        <v>74</v>
      </c>
      <c r="E22" s="295" t="s">
        <v>54</v>
      </c>
      <c r="F22" s="295" t="s">
        <v>10</v>
      </c>
      <c r="G22" s="326"/>
      <c r="H22" s="32">
        <f>27590+106520+76010</f>
        <v>210120</v>
      </c>
      <c r="I22" s="176"/>
      <c r="J22" s="151"/>
      <c r="K22" s="177"/>
      <c r="L22" s="201">
        <f>'[4]9509'!H14</f>
        <v>207660</v>
      </c>
      <c r="M22" s="14">
        <f>H22+I22-L22</f>
        <v>2460</v>
      </c>
      <c r="N22" s="274" t="s">
        <v>268</v>
      </c>
      <c r="O22" s="14">
        <f>H22+(I22+J22)-(K22+L22)</f>
        <v>2460</v>
      </c>
    </row>
    <row r="23" spans="1:15" ht="15.75" x14ac:dyDescent="0.25">
      <c r="A23" s="28" t="s">
        <v>203</v>
      </c>
      <c r="B23" s="282" t="s">
        <v>858</v>
      </c>
      <c r="C23" s="286" t="s">
        <v>860</v>
      </c>
      <c r="D23" s="305" t="s">
        <v>74</v>
      </c>
      <c r="E23" s="374" t="s">
        <v>54</v>
      </c>
      <c r="F23" s="299" t="s">
        <v>10</v>
      </c>
      <c r="G23" s="375">
        <v>210450</v>
      </c>
      <c r="H23" s="302">
        <f>158200+53020</f>
        <v>211220</v>
      </c>
      <c r="I23" s="284"/>
      <c r="J23" s="167"/>
      <c r="K23" s="285"/>
      <c r="L23" s="407">
        <f>'[5]6800'!H12</f>
        <v>208910</v>
      </c>
      <c r="M23" s="167">
        <f>H23+J23-L23</f>
        <v>2310</v>
      </c>
      <c r="N23" s="322" t="s">
        <v>315</v>
      </c>
      <c r="O23" s="167">
        <f>H23+(I23+J23)-(K23+L23)</f>
        <v>2310</v>
      </c>
    </row>
    <row r="24" spans="1:15" ht="15.75" x14ac:dyDescent="0.25">
      <c r="A24" s="28" t="s">
        <v>30</v>
      </c>
      <c r="B24" s="31" t="s">
        <v>468</v>
      </c>
      <c r="C24" s="87" t="s">
        <v>960</v>
      </c>
      <c r="D24" s="305" t="s">
        <v>134</v>
      </c>
      <c r="E24" s="295" t="s">
        <v>54</v>
      </c>
      <c r="F24" s="295" t="s">
        <v>10</v>
      </c>
      <c r="G24" s="326"/>
      <c r="H24" s="32">
        <v>337010</v>
      </c>
      <c r="I24" s="25"/>
      <c r="J24" s="14"/>
      <c r="K24" s="5"/>
      <c r="L24" s="201">
        <v>332570</v>
      </c>
      <c r="M24" s="14">
        <v>4440</v>
      </c>
      <c r="N24" s="274" t="s">
        <v>403</v>
      </c>
      <c r="O24" s="14">
        <v>4440</v>
      </c>
    </row>
    <row r="25" spans="1:15" ht="15.75" x14ac:dyDescent="0.25">
      <c r="A25" s="28" t="s">
        <v>201</v>
      </c>
      <c r="B25" s="282" t="s">
        <v>820</v>
      </c>
      <c r="C25" s="286" t="s">
        <v>821</v>
      </c>
      <c r="D25" s="305" t="s">
        <v>67</v>
      </c>
      <c r="E25" s="374" t="s">
        <v>54</v>
      </c>
      <c r="F25" s="299" t="s">
        <v>10</v>
      </c>
      <c r="G25" s="375">
        <v>261100</v>
      </c>
      <c r="H25" s="302">
        <f>130910+52800+78190</f>
        <v>261900</v>
      </c>
      <c r="I25" s="284"/>
      <c r="J25" s="167"/>
      <c r="K25" s="285"/>
      <c r="L25" s="407">
        <f>'[6]370A'!H11</f>
        <v>256630</v>
      </c>
      <c r="M25" s="167">
        <f t="shared" ref="M25:M30" si="2">H25+J25-L25</f>
        <v>5270</v>
      </c>
      <c r="N25" s="322" t="s">
        <v>40</v>
      </c>
      <c r="O25" s="167">
        <f>H25+(I25+J25)-(K25+L25)</f>
        <v>5270</v>
      </c>
    </row>
    <row r="26" spans="1:15" s="510" customFormat="1" ht="15.75" x14ac:dyDescent="0.25">
      <c r="A26" s="499" t="s">
        <v>231</v>
      </c>
      <c r="B26" s="500" t="s">
        <v>614</v>
      </c>
      <c r="C26" s="87" t="s">
        <v>618</v>
      </c>
      <c r="D26" s="643" t="s">
        <v>74</v>
      </c>
      <c r="E26" s="651" t="s">
        <v>54</v>
      </c>
      <c r="F26" s="648" t="s">
        <v>10</v>
      </c>
      <c r="G26" s="504"/>
      <c r="H26" s="537">
        <f>102020+50040</f>
        <v>152060</v>
      </c>
      <c r="I26" s="505"/>
      <c r="J26" s="506"/>
      <c r="K26" s="507"/>
      <c r="L26" s="540">
        <v>149310</v>
      </c>
      <c r="M26" s="506">
        <f t="shared" si="2"/>
        <v>2750</v>
      </c>
      <c r="N26" s="524" t="s">
        <v>947</v>
      </c>
      <c r="O26" s="509">
        <f>+H26+I26-K26</f>
        <v>152060</v>
      </c>
    </row>
    <row r="27" spans="1:15" ht="15.75" x14ac:dyDescent="0.25">
      <c r="A27" s="28" t="s">
        <v>200</v>
      </c>
      <c r="B27" s="282" t="s">
        <v>795</v>
      </c>
      <c r="C27" s="286" t="s">
        <v>796</v>
      </c>
      <c r="D27" s="645" t="s">
        <v>134</v>
      </c>
      <c r="E27" s="654" t="s">
        <v>54</v>
      </c>
      <c r="F27" s="356" t="s">
        <v>10</v>
      </c>
      <c r="G27" s="375">
        <v>494400</v>
      </c>
      <c r="H27" s="302">
        <f>31380+129260+216140+118180</f>
        <v>494960</v>
      </c>
      <c r="I27" s="284"/>
      <c r="J27" s="167"/>
      <c r="K27" s="285"/>
      <c r="L27" s="407">
        <f>[7]GREENTECA10!H14</f>
        <v>491030</v>
      </c>
      <c r="M27" s="167">
        <f t="shared" si="2"/>
        <v>3930</v>
      </c>
      <c r="N27" s="368" t="s">
        <v>797</v>
      </c>
      <c r="O27" s="167">
        <f>H27+(I27+J27)-(K27+L27)</f>
        <v>3930</v>
      </c>
    </row>
    <row r="28" spans="1:15" ht="15.75" x14ac:dyDescent="0.25">
      <c r="A28" s="28" t="s">
        <v>27</v>
      </c>
      <c r="B28" s="31" t="s">
        <v>448</v>
      </c>
      <c r="C28" s="87" t="s">
        <v>449</v>
      </c>
      <c r="D28" s="645" t="s">
        <v>183</v>
      </c>
      <c r="E28" s="649" t="s">
        <v>54</v>
      </c>
      <c r="F28" s="649" t="s">
        <v>10</v>
      </c>
      <c r="G28" s="326"/>
      <c r="H28" s="32">
        <f>26050+105090</f>
        <v>131140</v>
      </c>
      <c r="I28" s="25"/>
      <c r="J28" s="14"/>
      <c r="K28" s="5"/>
      <c r="L28" s="201">
        <f>'[8]095F'!H14</f>
        <v>127570</v>
      </c>
      <c r="M28" s="14">
        <f t="shared" si="2"/>
        <v>3570</v>
      </c>
      <c r="N28" s="274" t="s">
        <v>290</v>
      </c>
      <c r="O28" s="14">
        <f>H28+(I28+J28)-(K28+L28)</f>
        <v>3570</v>
      </c>
    </row>
    <row r="29" spans="1:15" ht="15.75" x14ac:dyDescent="0.25">
      <c r="A29" s="28" t="s">
        <v>227</v>
      </c>
      <c r="B29" s="31" t="s">
        <v>931</v>
      </c>
      <c r="C29" s="87" t="s">
        <v>934</v>
      </c>
      <c r="D29" s="645" t="s">
        <v>67</v>
      </c>
      <c r="E29" s="356" t="s">
        <v>54</v>
      </c>
      <c r="F29" s="649" t="s">
        <v>10</v>
      </c>
      <c r="G29" s="326">
        <v>78854</v>
      </c>
      <c r="H29" s="302">
        <v>78580</v>
      </c>
      <c r="I29" s="25"/>
      <c r="J29" s="14"/>
      <c r="K29" s="5"/>
      <c r="L29" s="201">
        <f>'[8]4110'!H14</f>
        <v>78120</v>
      </c>
      <c r="M29" s="14">
        <f t="shared" si="2"/>
        <v>460</v>
      </c>
      <c r="N29" s="274" t="s">
        <v>935</v>
      </c>
      <c r="O29" s="14">
        <f>H29+(I29+J29)-(K29+L29)</f>
        <v>460</v>
      </c>
    </row>
    <row r="30" spans="1:15" s="510" customFormat="1" ht="15.75" x14ac:dyDescent="0.25">
      <c r="A30" s="499" t="s">
        <v>17</v>
      </c>
      <c r="B30" s="500" t="s">
        <v>549</v>
      </c>
      <c r="C30" s="87" t="s">
        <v>552</v>
      </c>
      <c r="D30" s="643" t="s">
        <v>67</v>
      </c>
      <c r="E30" s="655" t="s">
        <v>54</v>
      </c>
      <c r="F30" s="648" t="s">
        <v>10</v>
      </c>
      <c r="G30" s="504"/>
      <c r="H30" s="608">
        <v>272940</v>
      </c>
      <c r="I30" s="505"/>
      <c r="J30" s="506"/>
      <c r="K30" s="507"/>
      <c r="L30" s="540">
        <f>'[9]1617'!H11</f>
        <v>269490</v>
      </c>
      <c r="M30" s="506">
        <f t="shared" si="2"/>
        <v>3450</v>
      </c>
      <c r="N30" s="524" t="s">
        <v>947</v>
      </c>
      <c r="O30" s="506">
        <v>272940</v>
      </c>
    </row>
    <row r="31" spans="1:15" ht="15.75" x14ac:dyDescent="0.25">
      <c r="A31" s="28"/>
      <c r="B31" s="31"/>
      <c r="C31" s="87"/>
      <c r="D31" s="305"/>
      <c r="E31" s="295"/>
      <c r="F31" s="295"/>
      <c r="G31" s="326"/>
      <c r="H31" s="32"/>
      <c r="I31" s="176"/>
      <c r="J31" s="151"/>
      <c r="K31" s="177"/>
      <c r="L31" s="201"/>
      <c r="M31" s="14"/>
      <c r="N31" s="469"/>
      <c r="O31" s="141"/>
    </row>
    <row r="32" spans="1:15" s="90" customFormat="1" x14ac:dyDescent="0.25">
      <c r="A32" s="164"/>
      <c r="B32" s="354"/>
      <c r="C32" s="148"/>
      <c r="D32" s="479"/>
      <c r="E32" s="148"/>
      <c r="F32" s="148"/>
      <c r="G32" s="343"/>
      <c r="H32" s="254"/>
      <c r="I32" s="148"/>
      <c r="J32" s="148"/>
      <c r="K32" s="148"/>
      <c r="L32" s="255"/>
      <c r="M32" s="169"/>
      <c r="N32" s="351"/>
      <c r="O32" s="149"/>
    </row>
    <row r="33" spans="1:16" x14ac:dyDescent="0.25">
      <c r="A33" s="164"/>
      <c r="B33" s="354"/>
      <c r="C33" s="148"/>
      <c r="D33" s="479"/>
      <c r="E33" s="148"/>
      <c r="F33" s="148"/>
      <c r="G33" s="343"/>
      <c r="H33" s="254"/>
      <c r="I33" s="148"/>
      <c r="J33" s="148"/>
      <c r="K33" s="148"/>
      <c r="L33" s="255"/>
      <c r="M33" s="153"/>
      <c r="N33" s="351"/>
    </row>
    <row r="34" spans="1:16" s="158" customFormat="1" ht="19.5" x14ac:dyDescent="0.3">
      <c r="A34" s="763" t="s">
        <v>131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5"/>
      <c r="M34" s="203">
        <f>SUM(M3:M33)</f>
        <v>178210</v>
      </c>
      <c r="N34" s="156"/>
      <c r="O34" s="157"/>
    </row>
    <row r="35" spans="1:16" s="147" customFormat="1" ht="16.5" x14ac:dyDescent="0.25">
      <c r="A35" s="760" t="s">
        <v>400</v>
      </c>
      <c r="B35" s="761"/>
      <c r="C35" s="761"/>
      <c r="D35" s="761"/>
      <c r="E35" s="761"/>
      <c r="F35" s="761"/>
      <c r="G35" s="761"/>
      <c r="H35" s="761"/>
      <c r="I35" s="761"/>
      <c r="J35" s="761"/>
      <c r="K35" s="761"/>
      <c r="L35" s="762"/>
      <c r="M35" s="159">
        <v>148040</v>
      </c>
      <c r="N35" s="146"/>
      <c r="O35" s="352"/>
    </row>
    <row r="36" spans="1:16" s="90" customFormat="1" ht="15.75" x14ac:dyDescent="0.25">
      <c r="A36" s="28" t="s">
        <v>198</v>
      </c>
      <c r="B36" s="30" t="s">
        <v>246</v>
      </c>
      <c r="C36" s="87" t="s">
        <v>247</v>
      </c>
      <c r="D36" s="480" t="s">
        <v>138</v>
      </c>
      <c r="E36" s="9" t="s">
        <v>54</v>
      </c>
      <c r="F36" s="9" t="s">
        <v>10</v>
      </c>
      <c r="G36" s="342"/>
      <c r="H36" s="346">
        <v>3720</v>
      </c>
      <c r="I36" s="395"/>
      <c r="J36" s="14"/>
      <c r="K36" s="14"/>
      <c r="L36" s="53">
        <v>3720</v>
      </c>
      <c r="M36" s="14">
        <v>3720</v>
      </c>
      <c r="N36" s="14"/>
      <c r="O36" s="350" t="s">
        <v>245</v>
      </c>
      <c r="P36" s="441">
        <v>3720</v>
      </c>
    </row>
    <row r="37" spans="1:16" ht="15.75" x14ac:dyDescent="0.25">
      <c r="A37" s="54" t="s">
        <v>324</v>
      </c>
      <c r="B37" s="55" t="s">
        <v>437</v>
      </c>
      <c r="C37" s="106" t="s">
        <v>438</v>
      </c>
      <c r="D37" s="481" t="s">
        <v>67</v>
      </c>
      <c r="E37" s="57" t="s">
        <v>54</v>
      </c>
      <c r="F37" s="57" t="s">
        <v>10</v>
      </c>
      <c r="G37" s="342"/>
      <c r="H37" s="346">
        <v>501060</v>
      </c>
      <c r="I37" s="173"/>
      <c r="J37" s="33"/>
      <c r="K37" s="33"/>
      <c r="L37" s="53">
        <v>499040</v>
      </c>
      <c r="M37" s="14">
        <v>2020</v>
      </c>
      <c r="N37" s="14"/>
      <c r="O37" s="350" t="s">
        <v>12</v>
      </c>
      <c r="P37" s="441">
        <v>2020</v>
      </c>
    </row>
    <row r="38" spans="1:16" ht="15.75" x14ac:dyDescent="0.25">
      <c r="A38" s="54" t="s">
        <v>27</v>
      </c>
      <c r="B38" s="55" t="s">
        <v>206</v>
      </c>
      <c r="C38" s="106" t="s">
        <v>684</v>
      </c>
      <c r="D38" s="481" t="s">
        <v>205</v>
      </c>
      <c r="E38" s="57" t="s">
        <v>54</v>
      </c>
      <c r="F38" s="57" t="s">
        <v>10</v>
      </c>
      <c r="G38" s="342"/>
      <c r="H38" s="346">
        <v>519250</v>
      </c>
      <c r="I38" s="173"/>
      <c r="J38" s="33"/>
      <c r="K38" s="33"/>
      <c r="L38" s="53">
        <v>516610</v>
      </c>
      <c r="M38" s="14">
        <v>2640</v>
      </c>
      <c r="N38" s="14"/>
      <c r="O38" s="350" t="s">
        <v>12</v>
      </c>
      <c r="P38" s="441">
        <v>2640</v>
      </c>
    </row>
    <row r="39" spans="1:16" s="12" customFormat="1" ht="15.75" x14ac:dyDescent="0.25">
      <c r="A39" s="54" t="s">
        <v>28</v>
      </c>
      <c r="B39" s="55" t="s">
        <v>211</v>
      </c>
      <c r="C39" s="186" t="s">
        <v>212</v>
      </c>
      <c r="D39" s="481" t="s">
        <v>205</v>
      </c>
      <c r="E39" s="57" t="s">
        <v>54</v>
      </c>
      <c r="F39" s="57" t="s">
        <v>10</v>
      </c>
      <c r="G39" s="342"/>
      <c r="H39" s="346">
        <v>481280</v>
      </c>
      <c r="I39" s="173"/>
      <c r="J39" s="33"/>
      <c r="K39" s="33"/>
      <c r="L39" s="53">
        <v>496060</v>
      </c>
      <c r="M39" s="14">
        <v>-14780</v>
      </c>
      <c r="N39" s="14"/>
      <c r="O39" s="350" t="s">
        <v>163</v>
      </c>
      <c r="P39" s="441"/>
    </row>
    <row r="40" spans="1:16" ht="15.75" x14ac:dyDescent="0.25">
      <c r="A40" s="390" t="s">
        <v>193</v>
      </c>
      <c r="B40" s="393" t="s">
        <v>605</v>
      </c>
      <c r="C40" s="394" t="s">
        <v>609</v>
      </c>
      <c r="D40" s="482" t="s">
        <v>67</v>
      </c>
      <c r="E40" s="57" t="s">
        <v>54</v>
      </c>
      <c r="F40" s="57" t="s">
        <v>10</v>
      </c>
      <c r="G40" s="342"/>
      <c r="H40" s="347">
        <v>503450</v>
      </c>
      <c r="I40" s="396"/>
      <c r="J40" s="58"/>
      <c r="K40" s="58"/>
      <c r="L40" s="204">
        <v>499240</v>
      </c>
      <c r="M40" s="10">
        <v>4210</v>
      </c>
      <c r="N40" s="10"/>
      <c r="O40" s="391" t="s">
        <v>163</v>
      </c>
      <c r="P40" s="442">
        <v>4210</v>
      </c>
    </row>
    <row r="41" spans="1:16" s="12" customFormat="1" ht="15.75" x14ac:dyDescent="0.25">
      <c r="A41" s="54" t="s">
        <v>427</v>
      </c>
      <c r="B41" s="55" t="s">
        <v>458</v>
      </c>
      <c r="C41" s="186" t="s">
        <v>461</v>
      </c>
      <c r="D41" s="481" t="s">
        <v>183</v>
      </c>
      <c r="E41" s="57" t="s">
        <v>54</v>
      </c>
      <c r="F41" s="57" t="s">
        <v>10</v>
      </c>
      <c r="G41" s="342"/>
      <c r="H41" s="346">
        <v>106020</v>
      </c>
      <c r="I41" s="173"/>
      <c r="J41" s="33"/>
      <c r="K41" s="33"/>
      <c r="L41" s="53">
        <v>105350</v>
      </c>
      <c r="M41" s="14">
        <v>670</v>
      </c>
      <c r="N41" s="14"/>
      <c r="O41" s="350"/>
      <c r="P41" s="441">
        <v>670</v>
      </c>
    </row>
    <row r="42" spans="1:16" ht="15.75" x14ac:dyDescent="0.25">
      <c r="A42" s="28" t="s">
        <v>23</v>
      </c>
      <c r="B42" s="30" t="s">
        <v>464</v>
      </c>
      <c r="C42" s="87" t="s">
        <v>466</v>
      </c>
      <c r="D42" s="483" t="s">
        <v>134</v>
      </c>
      <c r="E42" s="9" t="s">
        <v>54</v>
      </c>
      <c r="F42" s="295" t="s">
        <v>10</v>
      </c>
      <c r="G42" s="326"/>
      <c r="H42" s="32">
        <v>184510</v>
      </c>
      <c r="I42" s="24"/>
      <c r="J42" s="14"/>
      <c r="K42" s="14"/>
      <c r="L42" s="53">
        <v>182530</v>
      </c>
      <c r="M42" s="14">
        <f>+H42+J42-L42</f>
        <v>1980</v>
      </c>
      <c r="N42" s="14"/>
      <c r="O42" s="274" t="s">
        <v>185</v>
      </c>
      <c r="P42" s="441">
        <f>H42+(I42+J42)-(K42+L42)</f>
        <v>1980</v>
      </c>
    </row>
    <row r="43" spans="1:16" s="12" customFormat="1" ht="15.75" x14ac:dyDescent="0.25">
      <c r="A43" s="28" t="s">
        <v>194</v>
      </c>
      <c r="B43" s="30" t="s">
        <v>788</v>
      </c>
      <c r="C43" s="87" t="s">
        <v>790</v>
      </c>
      <c r="D43" s="483" t="s">
        <v>67</v>
      </c>
      <c r="E43" s="9" t="s">
        <v>54</v>
      </c>
      <c r="F43" s="295" t="s">
        <v>10</v>
      </c>
      <c r="G43" s="326">
        <v>136020</v>
      </c>
      <c r="H43" s="32">
        <f>54460+81190</f>
        <v>135650</v>
      </c>
      <c r="I43" s="24"/>
      <c r="J43" s="14"/>
      <c r="K43" s="14"/>
      <c r="L43" s="53">
        <v>134550</v>
      </c>
      <c r="M43" s="14">
        <f>+H43+J43-L43</f>
        <v>1100</v>
      </c>
      <c r="N43" s="14"/>
      <c r="O43" s="274" t="s">
        <v>290</v>
      </c>
      <c r="P43" s="441">
        <f>H43+(I43+J43)-(K43+L43)</f>
        <v>1100</v>
      </c>
    </row>
    <row r="44" spans="1:16" ht="15.75" x14ac:dyDescent="0.25">
      <c r="A44" s="164" t="s">
        <v>426</v>
      </c>
      <c r="B44" s="55" t="s">
        <v>442</v>
      </c>
      <c r="C44" s="185" t="s">
        <v>450</v>
      </c>
      <c r="D44" s="482" t="s">
        <v>74</v>
      </c>
      <c r="E44" s="57" t="s">
        <v>54</v>
      </c>
      <c r="F44" s="57" t="s">
        <v>10</v>
      </c>
      <c r="G44" s="342"/>
      <c r="H44" s="346">
        <v>310020</v>
      </c>
      <c r="I44" s="173"/>
      <c r="J44" s="33"/>
      <c r="K44" s="33"/>
      <c r="L44" s="53">
        <v>307250</v>
      </c>
      <c r="M44" s="14">
        <v>2770</v>
      </c>
      <c r="N44" s="154"/>
      <c r="O44" s="353" t="s">
        <v>44</v>
      </c>
      <c r="P44" s="3">
        <v>2770</v>
      </c>
    </row>
    <row r="45" spans="1:16" s="12" customFormat="1" ht="17.25" customHeight="1" x14ac:dyDescent="0.25">
      <c r="A45" s="28" t="s">
        <v>32</v>
      </c>
      <c r="B45" s="30" t="s">
        <v>184</v>
      </c>
      <c r="C45" s="73" t="s">
        <v>805</v>
      </c>
      <c r="D45" s="483" t="s">
        <v>186</v>
      </c>
      <c r="E45" s="9" t="s">
        <v>54</v>
      </c>
      <c r="F45" s="295" t="s">
        <v>10</v>
      </c>
      <c r="G45" s="326"/>
      <c r="H45" s="32">
        <f>100410+74750</f>
        <v>175160</v>
      </c>
      <c r="I45" s="24"/>
      <c r="J45" s="14"/>
      <c r="K45" s="14"/>
      <c r="L45" s="53">
        <v>171310</v>
      </c>
      <c r="M45" s="14">
        <f>+H45+J45-L45</f>
        <v>3850</v>
      </c>
      <c r="N45" s="14"/>
      <c r="O45" s="274" t="s">
        <v>185</v>
      </c>
      <c r="P45" s="441">
        <f>H45+(I45+J45)-(K45+L45)</f>
        <v>3850</v>
      </c>
    </row>
    <row r="46" spans="1:16" s="12" customFormat="1" ht="15.75" x14ac:dyDescent="0.25">
      <c r="A46" s="28" t="s">
        <v>33</v>
      </c>
      <c r="B46" s="30" t="s">
        <v>211</v>
      </c>
      <c r="C46" s="87" t="s">
        <v>213</v>
      </c>
      <c r="D46" s="483" t="s">
        <v>205</v>
      </c>
      <c r="E46" s="9" t="s">
        <v>54</v>
      </c>
      <c r="F46" s="295" t="s">
        <v>10</v>
      </c>
      <c r="G46" s="326"/>
      <c r="H46" s="32">
        <f>25890+73610+24380+24390+73640+144640+73440</f>
        <v>439990</v>
      </c>
      <c r="I46" s="24"/>
      <c r="J46" s="14"/>
      <c r="K46" s="14"/>
      <c r="L46" s="53">
        <v>432010</v>
      </c>
      <c r="M46" s="14">
        <f>+H46+J46-L46</f>
        <v>7980</v>
      </c>
      <c r="N46" s="14"/>
      <c r="O46" s="274" t="s">
        <v>214</v>
      </c>
      <c r="P46" s="441">
        <f>H46+(I46+J46)-(K46+L46)</f>
        <v>7980</v>
      </c>
    </row>
    <row r="47" spans="1:16" s="12" customFormat="1" ht="15.75" x14ac:dyDescent="0.25">
      <c r="A47" s="54" t="s">
        <v>24</v>
      </c>
      <c r="B47" s="55" t="s">
        <v>482</v>
      </c>
      <c r="C47" s="106" t="s">
        <v>483</v>
      </c>
      <c r="D47" s="482" t="s">
        <v>67</v>
      </c>
      <c r="E47" s="57" t="s">
        <v>54</v>
      </c>
      <c r="F47" s="57" t="s">
        <v>10</v>
      </c>
      <c r="G47" s="342"/>
      <c r="H47" s="346">
        <v>172810</v>
      </c>
      <c r="I47" s="108"/>
      <c r="J47" s="33"/>
      <c r="K47" s="33"/>
      <c r="L47" s="53">
        <v>172430</v>
      </c>
      <c r="M47" s="14">
        <f>+H47+J47-L47</f>
        <v>380</v>
      </c>
      <c r="N47" s="14"/>
      <c r="O47" s="350" t="s">
        <v>40</v>
      </c>
      <c r="P47" s="443">
        <v>28060</v>
      </c>
    </row>
    <row r="48" spans="1:16" s="12" customFormat="1" ht="15.75" x14ac:dyDescent="0.25">
      <c r="A48" s="28" t="s">
        <v>200</v>
      </c>
      <c r="B48" s="30" t="s">
        <v>832</v>
      </c>
      <c r="C48" s="87" t="s">
        <v>833</v>
      </c>
      <c r="D48" s="483" t="s">
        <v>74</v>
      </c>
      <c r="E48" s="9" t="s">
        <v>54</v>
      </c>
      <c r="F48" s="295" t="s">
        <v>10</v>
      </c>
      <c r="G48" s="326">
        <v>270420</v>
      </c>
      <c r="H48" s="32">
        <f>136730+132870</f>
        <v>269600</v>
      </c>
      <c r="I48" s="24"/>
      <c r="J48" s="14"/>
      <c r="K48" s="14"/>
      <c r="L48" s="53">
        <f>'[10]6900'!H14</f>
        <v>268760</v>
      </c>
      <c r="M48" s="14">
        <f>+H48+J48-L48</f>
        <v>840</v>
      </c>
      <c r="N48" s="14"/>
      <c r="O48" s="274" t="s">
        <v>16</v>
      </c>
      <c r="P48" s="441">
        <f>H48+(I48+J48)-(K48+L48)</f>
        <v>840</v>
      </c>
    </row>
    <row r="49" spans="1:16" ht="15.75" x14ac:dyDescent="0.25">
      <c r="A49" s="54" t="s">
        <v>34</v>
      </c>
      <c r="B49" s="55" t="s">
        <v>812</v>
      </c>
      <c r="C49" s="106" t="s">
        <v>737</v>
      </c>
      <c r="D49" s="482" t="s">
        <v>205</v>
      </c>
      <c r="E49" s="57" t="s">
        <v>54</v>
      </c>
      <c r="F49" s="57" t="s">
        <v>10</v>
      </c>
      <c r="G49" s="342"/>
      <c r="H49" s="346">
        <v>390930</v>
      </c>
      <c r="I49" s="173"/>
      <c r="J49" s="33"/>
      <c r="K49" s="33"/>
      <c r="L49" s="53">
        <v>383450</v>
      </c>
      <c r="M49" s="14">
        <v>7480</v>
      </c>
      <c r="N49" s="14"/>
      <c r="O49" s="350" t="s">
        <v>232</v>
      </c>
      <c r="P49" s="443">
        <v>7480</v>
      </c>
    </row>
    <row r="50" spans="1:16" s="12" customFormat="1" ht="15.75" x14ac:dyDescent="0.25">
      <c r="A50" s="28" t="s">
        <v>225</v>
      </c>
      <c r="B50" s="30" t="s">
        <v>847</v>
      </c>
      <c r="C50" s="87" t="s">
        <v>848</v>
      </c>
      <c r="D50" s="483" t="s">
        <v>74</v>
      </c>
      <c r="E50" s="9" t="s">
        <v>54</v>
      </c>
      <c r="F50" s="295" t="s">
        <v>10</v>
      </c>
      <c r="G50" s="326">
        <v>381302</v>
      </c>
      <c r="H50" s="32">
        <f>137540+188820+56070</f>
        <v>382430</v>
      </c>
      <c r="I50" s="24"/>
      <c r="J50" s="14"/>
      <c r="K50" s="14"/>
      <c r="L50" s="53">
        <f>'[3]9861'!H14</f>
        <v>379880</v>
      </c>
      <c r="M50" s="14">
        <f t="shared" ref="M50:M55" si="3">+H50+J50-L50</f>
        <v>2550</v>
      </c>
      <c r="N50" s="14"/>
      <c r="O50" s="274" t="s">
        <v>15</v>
      </c>
      <c r="P50" s="74">
        <f t="shared" ref="P50:P55" si="4">H50+(I50+J50)-(K50+L50)</f>
        <v>2550</v>
      </c>
    </row>
    <row r="51" spans="1:16" s="12" customFormat="1" ht="15.75" x14ac:dyDescent="0.25">
      <c r="A51" s="28" t="s">
        <v>226</v>
      </c>
      <c r="B51" s="30" t="s">
        <v>852</v>
      </c>
      <c r="C51" s="87" t="s">
        <v>854</v>
      </c>
      <c r="D51" s="323" t="s">
        <v>67</v>
      </c>
      <c r="E51" s="9" t="s">
        <v>54</v>
      </c>
      <c r="F51" s="295" t="s">
        <v>10</v>
      </c>
      <c r="G51" s="326">
        <v>210810</v>
      </c>
      <c r="H51" s="32">
        <f>79900+132090</f>
        <v>211990</v>
      </c>
      <c r="I51" s="24"/>
      <c r="J51" s="14"/>
      <c r="K51" s="14"/>
      <c r="L51" s="53">
        <f>'[4]005E'!H10</f>
        <v>208010</v>
      </c>
      <c r="M51" s="14">
        <f t="shared" si="3"/>
        <v>3980</v>
      </c>
      <c r="N51" s="14"/>
      <c r="O51" s="274" t="s">
        <v>315</v>
      </c>
      <c r="P51" s="74">
        <f t="shared" si="4"/>
        <v>3980</v>
      </c>
    </row>
    <row r="52" spans="1:16" s="12" customFormat="1" ht="15.75" x14ac:dyDescent="0.25">
      <c r="A52" s="28" t="s">
        <v>428</v>
      </c>
      <c r="B52" s="30" t="s">
        <v>468</v>
      </c>
      <c r="C52" s="87" t="s">
        <v>470</v>
      </c>
      <c r="D52" s="323" t="s">
        <v>67</v>
      </c>
      <c r="E52" s="9" t="s">
        <v>54</v>
      </c>
      <c r="F52" s="295" t="s">
        <v>10</v>
      </c>
      <c r="G52" s="326"/>
      <c r="H52" s="32">
        <f>137990+192300+80610+103580+108640+133220</f>
        <v>756340</v>
      </c>
      <c r="I52" s="24"/>
      <c r="J52" s="14"/>
      <c r="K52" s="14"/>
      <c r="L52" s="53">
        <f>'[4]1440'!H18</f>
        <v>741580</v>
      </c>
      <c r="M52" s="14">
        <f t="shared" si="3"/>
        <v>14760</v>
      </c>
      <c r="N52" s="14"/>
      <c r="O52" s="274" t="s">
        <v>481</v>
      </c>
      <c r="P52" s="74">
        <f t="shared" si="4"/>
        <v>14760</v>
      </c>
    </row>
    <row r="53" spans="1:16" s="12" customFormat="1" ht="15.75" x14ac:dyDescent="0.25">
      <c r="A53" s="28" t="s">
        <v>229</v>
      </c>
      <c r="B53" s="30" t="s">
        <v>866</v>
      </c>
      <c r="C53" s="87" t="s">
        <v>867</v>
      </c>
      <c r="D53" s="323" t="s">
        <v>67</v>
      </c>
      <c r="E53" s="9" t="s">
        <v>54</v>
      </c>
      <c r="F53" s="295" t="s">
        <v>10</v>
      </c>
      <c r="G53" s="326">
        <v>242962</v>
      </c>
      <c r="H53" s="32">
        <f>135280+107480</f>
        <v>242760</v>
      </c>
      <c r="I53" s="24"/>
      <c r="J53" s="14"/>
      <c r="K53" s="14"/>
      <c r="L53" s="53">
        <f>'[4]0323'!H14</f>
        <v>240830</v>
      </c>
      <c r="M53" s="14">
        <f t="shared" si="3"/>
        <v>1930</v>
      </c>
      <c r="N53" s="14"/>
      <c r="O53" s="274" t="s">
        <v>332</v>
      </c>
      <c r="P53" s="74">
        <f t="shared" si="4"/>
        <v>1930</v>
      </c>
    </row>
    <row r="54" spans="1:16" s="12" customFormat="1" ht="15.75" x14ac:dyDescent="0.25">
      <c r="A54" s="28" t="s">
        <v>18</v>
      </c>
      <c r="B54" s="30" t="s">
        <v>280</v>
      </c>
      <c r="C54" s="87" t="s">
        <v>282</v>
      </c>
      <c r="D54" s="323" t="s">
        <v>138</v>
      </c>
      <c r="E54" s="9" t="s">
        <v>54</v>
      </c>
      <c r="F54" s="295" t="s">
        <v>10</v>
      </c>
      <c r="G54" s="326"/>
      <c r="H54" s="32">
        <f>135710+134460+159290+81930+27210</f>
        <v>538600</v>
      </c>
      <c r="I54" s="24"/>
      <c r="J54" s="14"/>
      <c r="K54" s="14"/>
      <c r="L54" s="53">
        <f>'[4]314C'!H14</f>
        <v>520690</v>
      </c>
      <c r="M54" s="14">
        <f t="shared" si="3"/>
        <v>17910</v>
      </c>
      <c r="N54" s="14"/>
      <c r="O54" s="274" t="s">
        <v>12</v>
      </c>
      <c r="P54" s="74">
        <f t="shared" si="4"/>
        <v>17910</v>
      </c>
    </row>
    <row r="55" spans="1:16" s="716" customFormat="1" ht="15.75" x14ac:dyDescent="0.25">
      <c r="A55" s="705" t="s">
        <v>238</v>
      </c>
      <c r="B55" s="706" t="s">
        <v>293</v>
      </c>
      <c r="C55" s="707" t="s">
        <v>294</v>
      </c>
      <c r="D55" s="708" t="s">
        <v>74</v>
      </c>
      <c r="E55" s="709" t="s">
        <v>54</v>
      </c>
      <c r="F55" s="710" t="s">
        <v>10</v>
      </c>
      <c r="G55" s="711"/>
      <c r="H55" s="712">
        <f>75720+101140+126110+49480+47850+74790</f>
        <v>475090</v>
      </c>
      <c r="I55" s="713"/>
      <c r="J55" s="712"/>
      <c r="K55" s="712"/>
      <c r="L55" s="712">
        <f>'[11]118A'!H11</f>
        <v>430840</v>
      </c>
      <c r="M55" s="712">
        <f t="shared" si="3"/>
        <v>44250</v>
      </c>
      <c r="N55" s="712"/>
      <c r="O55" s="714" t="s">
        <v>163</v>
      </c>
      <c r="P55" s="715">
        <f t="shared" si="4"/>
        <v>44250</v>
      </c>
    </row>
    <row r="56" spans="1:16" ht="15.75" x14ac:dyDescent="0.25">
      <c r="A56" s="54" t="s">
        <v>196</v>
      </c>
      <c r="B56" s="55" t="s">
        <v>803</v>
      </c>
      <c r="C56" s="106" t="s">
        <v>808</v>
      </c>
      <c r="D56" s="481" t="s">
        <v>134</v>
      </c>
      <c r="E56" s="57" t="s">
        <v>54</v>
      </c>
      <c r="F56" s="57" t="s">
        <v>10</v>
      </c>
      <c r="G56" s="342">
        <v>547230</v>
      </c>
      <c r="H56" s="346">
        <v>547550</v>
      </c>
      <c r="I56" s="173"/>
      <c r="J56" s="33"/>
      <c r="K56" s="33"/>
      <c r="L56" s="53">
        <v>542270</v>
      </c>
      <c r="M56" s="14">
        <v>5280</v>
      </c>
      <c r="N56" s="141"/>
      <c r="O56" s="350" t="s">
        <v>797</v>
      </c>
      <c r="P56" s="178">
        <v>5280</v>
      </c>
    </row>
    <row r="57" spans="1:16" s="12" customFormat="1" ht="15.75" x14ac:dyDescent="0.25">
      <c r="A57" s="28" t="s">
        <v>29</v>
      </c>
      <c r="B57" s="30" t="s">
        <v>532</v>
      </c>
      <c r="C57" s="87" t="s">
        <v>536</v>
      </c>
      <c r="D57" s="323" t="s">
        <v>67</v>
      </c>
      <c r="E57" s="9" t="s">
        <v>54</v>
      </c>
      <c r="F57" s="295" t="s">
        <v>10</v>
      </c>
      <c r="G57" s="326"/>
      <c r="H57" s="32">
        <f>131990+107020+107520+106890+54000</f>
        <v>507420</v>
      </c>
      <c r="I57" s="24"/>
      <c r="J57" s="14"/>
      <c r="K57" s="14"/>
      <c r="L57" s="53">
        <f>'[6]4575'!H11</f>
        <v>499060</v>
      </c>
      <c r="M57" s="14">
        <f>+H57+J57-L57</f>
        <v>8360</v>
      </c>
      <c r="N57" s="14"/>
      <c r="O57" s="523" t="s">
        <v>163</v>
      </c>
      <c r="P57" s="74">
        <f>H57+(I57+J57)-(K57+L57)</f>
        <v>8360</v>
      </c>
    </row>
    <row r="58" spans="1:16" s="12" customFormat="1" ht="15.75" x14ac:dyDescent="0.25">
      <c r="A58" s="28" t="s">
        <v>199</v>
      </c>
      <c r="B58" s="30" t="s">
        <v>814</v>
      </c>
      <c r="C58" s="87" t="s">
        <v>816</v>
      </c>
      <c r="D58" s="323" t="s">
        <v>134</v>
      </c>
      <c r="E58" s="9" t="s">
        <v>54</v>
      </c>
      <c r="F58" s="295" t="s">
        <v>10</v>
      </c>
      <c r="G58" s="326">
        <v>376100</v>
      </c>
      <c r="H58" s="32">
        <f>32330+189260+125470</f>
        <v>347060</v>
      </c>
      <c r="I58" s="24"/>
      <c r="J58" s="14"/>
      <c r="K58" s="14"/>
      <c r="L58" s="53">
        <f>[6]GREENTECE1!H12</f>
        <v>343800</v>
      </c>
      <c r="M58" s="14">
        <f>+H58+J58-L58</f>
        <v>3260</v>
      </c>
      <c r="N58" s="14"/>
      <c r="O58" s="523" t="s">
        <v>797</v>
      </c>
      <c r="P58" s="74">
        <f>H58+(I58+J58)-(K58+L58)</f>
        <v>3260</v>
      </c>
    </row>
    <row r="59" spans="1:16" s="12" customFormat="1" ht="15.75" x14ac:dyDescent="0.25">
      <c r="A59" s="28" t="s">
        <v>29</v>
      </c>
      <c r="B59" s="31" t="s">
        <v>855</v>
      </c>
      <c r="C59" s="87" t="s">
        <v>857</v>
      </c>
      <c r="D59" s="652" t="s">
        <v>74</v>
      </c>
      <c r="E59" s="649" t="s">
        <v>54</v>
      </c>
      <c r="F59" s="649" t="s">
        <v>10</v>
      </c>
      <c r="G59" s="326">
        <v>26518</v>
      </c>
      <c r="H59" s="32">
        <v>25850</v>
      </c>
      <c r="I59" s="24"/>
      <c r="J59" s="14"/>
      <c r="K59" s="14"/>
      <c r="L59" s="53">
        <f>'[6]8111'!H10</f>
        <v>25400</v>
      </c>
      <c r="M59" s="14">
        <f>+H59+J59-L59</f>
        <v>450</v>
      </c>
      <c r="N59" s="14"/>
      <c r="O59" s="523" t="s">
        <v>57</v>
      </c>
      <c r="P59" s="74">
        <f>H59+(I59+J59)-(K59+L59)</f>
        <v>450</v>
      </c>
    </row>
    <row r="60" spans="1:16" s="12" customFormat="1" ht="15.75" x14ac:dyDescent="0.25">
      <c r="A60" s="28" t="s">
        <v>422</v>
      </c>
      <c r="B60" s="31" t="s">
        <v>442</v>
      </c>
      <c r="C60" s="87" t="s">
        <v>443</v>
      </c>
      <c r="D60" s="652" t="s">
        <v>183</v>
      </c>
      <c r="E60" s="649" t="s">
        <v>54</v>
      </c>
      <c r="F60" s="649" t="s">
        <v>10</v>
      </c>
      <c r="G60" s="326"/>
      <c r="H60" s="32">
        <f>153990+102250+203280+25400</f>
        <v>484920</v>
      </c>
      <c r="I60" s="24"/>
      <c r="J60" s="14"/>
      <c r="K60" s="14"/>
      <c r="L60" s="53">
        <f>'[8]895A'!H14</f>
        <v>478890</v>
      </c>
      <c r="M60" s="14">
        <f>+H60+J60-L60</f>
        <v>6030</v>
      </c>
      <c r="N60" s="14"/>
      <c r="O60" s="523" t="s">
        <v>163</v>
      </c>
      <c r="P60" s="74">
        <f>H60+(I60+J60)-(K60+L60)</f>
        <v>6030</v>
      </c>
    </row>
    <row r="61" spans="1:16" s="12" customFormat="1" ht="15.75" x14ac:dyDescent="0.25">
      <c r="A61" s="28" t="s">
        <v>18</v>
      </c>
      <c r="B61" s="31" t="s">
        <v>295</v>
      </c>
      <c r="C61" s="87" t="s">
        <v>296</v>
      </c>
      <c r="D61" s="652" t="s">
        <v>67</v>
      </c>
      <c r="E61" s="649" t="s">
        <v>54</v>
      </c>
      <c r="F61" s="649" t="s">
        <v>10</v>
      </c>
      <c r="G61" s="326"/>
      <c r="H61" s="32">
        <f>100370+78080+49140+22740</f>
        <v>250330</v>
      </c>
      <c r="I61" s="24"/>
      <c r="J61" s="14"/>
      <c r="K61" s="14"/>
      <c r="L61" s="53">
        <f>'[9]7500'!H14</f>
        <v>245060</v>
      </c>
      <c r="M61" s="14">
        <f>+H61+J61-L61</f>
        <v>5270</v>
      </c>
      <c r="N61" s="14"/>
      <c r="O61" s="523" t="s">
        <v>297</v>
      </c>
      <c r="P61" s="74">
        <f>H61+(I61+J61)-(K61+L61)</f>
        <v>5270</v>
      </c>
    </row>
    <row r="62" spans="1:16" s="12" customFormat="1" ht="15.75" x14ac:dyDescent="0.25">
      <c r="A62" s="28"/>
      <c r="B62" s="31"/>
      <c r="C62" s="87"/>
      <c r="D62" s="652"/>
      <c r="E62" s="649"/>
      <c r="F62" s="649"/>
      <c r="G62" s="326"/>
      <c r="H62" s="32"/>
      <c r="I62" s="395"/>
      <c r="J62" s="14"/>
      <c r="K62" s="14"/>
      <c r="L62" s="53"/>
      <c r="M62" s="14"/>
      <c r="N62" s="141"/>
      <c r="O62" s="523"/>
      <c r="P62" s="178"/>
    </row>
    <row r="63" spans="1:16" s="12" customFormat="1" ht="15.75" x14ac:dyDescent="0.25">
      <c r="A63" s="28"/>
      <c r="B63" s="31"/>
      <c r="C63" s="87"/>
      <c r="D63" s="652"/>
      <c r="E63" s="649"/>
      <c r="F63" s="649"/>
      <c r="G63" s="326"/>
      <c r="H63" s="32"/>
      <c r="I63" s="395"/>
      <c r="J63" s="14"/>
      <c r="K63" s="14"/>
      <c r="L63" s="53"/>
      <c r="M63" s="14"/>
      <c r="N63" s="141"/>
      <c r="O63" s="523"/>
      <c r="P63" s="178"/>
    </row>
    <row r="64" spans="1:16" s="12" customFormat="1" ht="15.75" x14ac:dyDescent="0.25">
      <c r="A64" s="28"/>
      <c r="B64" s="31"/>
      <c r="C64" s="87"/>
      <c r="D64" s="652"/>
      <c r="E64" s="649"/>
      <c r="F64" s="649"/>
      <c r="G64" s="326"/>
      <c r="H64" s="32"/>
      <c r="I64" s="395"/>
      <c r="J64" s="14"/>
      <c r="K64" s="14"/>
      <c r="L64" s="53"/>
      <c r="M64" s="14"/>
      <c r="N64" s="141"/>
      <c r="O64" s="523"/>
      <c r="P64" s="178"/>
    </row>
    <row r="65" spans="1:16" s="12" customFormat="1" ht="15.75" x14ac:dyDescent="0.25">
      <c r="A65" s="28"/>
      <c r="B65" s="31"/>
      <c r="C65" s="87"/>
      <c r="D65" s="652"/>
      <c r="E65" s="649"/>
      <c r="F65" s="649"/>
      <c r="G65" s="326"/>
      <c r="H65" s="32"/>
      <c r="I65" s="395"/>
      <c r="J65" s="14"/>
      <c r="K65" s="14"/>
      <c r="L65" s="53"/>
      <c r="M65" s="14"/>
      <c r="N65" s="141"/>
      <c r="O65" s="523"/>
      <c r="P65" s="178"/>
    </row>
    <row r="66" spans="1:16" ht="15.75" x14ac:dyDescent="0.25">
      <c r="A66" s="150"/>
      <c r="B66" s="356"/>
      <c r="C66" s="151"/>
      <c r="D66" s="478"/>
      <c r="E66" s="9"/>
      <c r="F66" s="9"/>
      <c r="G66" s="342"/>
      <c r="H66" s="152"/>
      <c r="I66" s="151"/>
      <c r="J66" s="151"/>
      <c r="K66" s="151"/>
      <c r="L66" s="144"/>
      <c r="M66" s="153"/>
      <c r="N66" s="154"/>
      <c r="O66" s="353"/>
    </row>
    <row r="67" spans="1:16" ht="19.5" x14ac:dyDescent="0.3">
      <c r="A67" s="769" t="s">
        <v>132</v>
      </c>
      <c r="B67" s="770"/>
      <c r="C67" s="770"/>
      <c r="D67" s="770"/>
      <c r="E67" s="770"/>
      <c r="F67" s="770"/>
      <c r="G67" s="770"/>
      <c r="H67" s="770"/>
      <c r="I67" s="770"/>
      <c r="J67" s="770"/>
      <c r="K67" s="770"/>
      <c r="L67" s="771"/>
      <c r="M67" s="155">
        <f>SUM(M35:M66)</f>
        <v>286930</v>
      </c>
      <c r="N67" s="160"/>
      <c r="O67" s="161"/>
      <c r="P67" s="147"/>
    </row>
    <row r="68" spans="1:16" s="147" customFormat="1" ht="16.5" x14ac:dyDescent="0.25">
      <c r="A68" s="760" t="s">
        <v>400</v>
      </c>
      <c r="B68" s="761"/>
      <c r="C68" s="761"/>
      <c r="D68" s="761"/>
      <c r="E68" s="761"/>
      <c r="F68" s="761"/>
      <c r="G68" s="761"/>
      <c r="H68" s="761"/>
      <c r="I68" s="761"/>
      <c r="J68" s="761"/>
      <c r="K68" s="761"/>
      <c r="L68" s="762"/>
      <c r="M68" s="145">
        <v>126760</v>
      </c>
      <c r="N68" s="146"/>
      <c r="O68" s="352"/>
      <c r="P68" s="3"/>
    </row>
    <row r="69" spans="1:16" s="12" customFormat="1" ht="15.75" x14ac:dyDescent="0.25">
      <c r="A69" s="28" t="s">
        <v>25</v>
      </c>
      <c r="B69" s="30" t="s">
        <v>241</v>
      </c>
      <c r="C69" s="86" t="s">
        <v>243</v>
      </c>
      <c r="D69" s="484" t="s">
        <v>167</v>
      </c>
      <c r="E69" s="13" t="s">
        <v>11</v>
      </c>
      <c r="F69" s="13" t="s">
        <v>10</v>
      </c>
      <c r="G69" s="344"/>
      <c r="H69" s="346">
        <v>361230</v>
      </c>
      <c r="I69" s="14"/>
      <c r="J69" s="14"/>
      <c r="K69" s="14"/>
      <c r="L69" s="204">
        <v>356540</v>
      </c>
      <c r="M69" s="10">
        <v>4690</v>
      </c>
      <c r="N69" s="22"/>
      <c r="O69" s="350" t="s">
        <v>15</v>
      </c>
      <c r="P69" s="444">
        <v>4690</v>
      </c>
    </row>
    <row r="70" spans="1:16" x14ac:dyDescent="0.25">
      <c r="A70" s="150" t="s">
        <v>408</v>
      </c>
      <c r="B70" s="356" t="s">
        <v>431</v>
      </c>
      <c r="C70" s="151" t="s">
        <v>436</v>
      </c>
      <c r="D70" s="478" t="s">
        <v>67</v>
      </c>
      <c r="E70" s="151" t="s">
        <v>11</v>
      </c>
      <c r="F70" s="151" t="s">
        <v>10</v>
      </c>
      <c r="G70" s="343"/>
      <c r="H70" s="254">
        <v>500600</v>
      </c>
      <c r="I70" s="151"/>
      <c r="J70" s="151"/>
      <c r="K70" s="151"/>
      <c r="L70" s="255">
        <v>498540</v>
      </c>
      <c r="M70" s="153">
        <v>2060</v>
      </c>
      <c r="N70" s="154"/>
      <c r="O70" s="353" t="s">
        <v>12</v>
      </c>
    </row>
    <row r="71" spans="1:16" x14ac:dyDescent="0.25">
      <c r="A71" s="150" t="s">
        <v>326</v>
      </c>
      <c r="B71" s="356" t="s">
        <v>419</v>
      </c>
      <c r="C71" s="151" t="s">
        <v>421</v>
      </c>
      <c r="D71" s="478" t="s">
        <v>183</v>
      </c>
      <c r="E71" s="151" t="s">
        <v>11</v>
      </c>
      <c r="F71" s="151" t="s">
        <v>10</v>
      </c>
      <c r="G71" s="343"/>
      <c r="H71" s="254">
        <v>264080</v>
      </c>
      <c r="I71" s="151"/>
      <c r="J71" s="151"/>
      <c r="K71" s="151"/>
      <c r="L71" s="255">
        <v>262960</v>
      </c>
      <c r="M71" s="153">
        <v>1120</v>
      </c>
      <c r="N71" s="154"/>
      <c r="O71" s="353" t="s">
        <v>40</v>
      </c>
      <c r="P71" s="3">
        <v>1120</v>
      </c>
    </row>
    <row r="72" spans="1:16" x14ac:dyDescent="0.25">
      <c r="A72" s="150" t="s">
        <v>199</v>
      </c>
      <c r="B72" s="356" t="s">
        <v>269</v>
      </c>
      <c r="C72" s="151" t="s">
        <v>271</v>
      </c>
      <c r="D72" s="478" t="s">
        <v>74</v>
      </c>
      <c r="E72" s="151" t="s">
        <v>11</v>
      </c>
      <c r="F72" s="151" t="s">
        <v>10</v>
      </c>
      <c r="G72" s="343"/>
      <c r="H72" s="254">
        <v>278730</v>
      </c>
      <c r="I72" s="151"/>
      <c r="J72" s="151"/>
      <c r="K72" s="151"/>
      <c r="L72" s="255">
        <v>276790</v>
      </c>
      <c r="M72" s="153">
        <v>1940</v>
      </c>
      <c r="N72" s="154"/>
      <c r="O72" s="353" t="s">
        <v>16</v>
      </c>
    </row>
    <row r="73" spans="1:16" x14ac:dyDescent="0.25">
      <c r="A73" s="150" t="s">
        <v>195</v>
      </c>
      <c r="B73" s="356" t="s">
        <v>254</v>
      </c>
      <c r="C73" s="151" t="s">
        <v>256</v>
      </c>
      <c r="D73" s="478" t="s">
        <v>74</v>
      </c>
      <c r="E73" s="151" t="s">
        <v>11</v>
      </c>
      <c r="F73" s="151" t="s">
        <v>10</v>
      </c>
      <c r="G73" s="343"/>
      <c r="H73" s="254">
        <v>266630</v>
      </c>
      <c r="I73" s="151"/>
      <c r="J73" s="151"/>
      <c r="K73" s="151"/>
      <c r="L73" s="255">
        <v>263910</v>
      </c>
      <c r="M73" s="153">
        <v>2720</v>
      </c>
      <c r="N73" s="154"/>
      <c r="O73" s="353" t="s">
        <v>40</v>
      </c>
    </row>
    <row r="74" spans="1:16" s="12" customFormat="1" ht="15.75" x14ac:dyDescent="0.25">
      <c r="A74" s="28" t="s">
        <v>26</v>
      </c>
      <c r="B74" s="30" t="s">
        <v>378</v>
      </c>
      <c r="C74" s="86" t="s">
        <v>377</v>
      </c>
      <c r="D74" s="485" t="s">
        <v>67</v>
      </c>
      <c r="E74" s="13" t="s">
        <v>11</v>
      </c>
      <c r="F74" s="299" t="s">
        <v>10</v>
      </c>
      <c r="G74" s="340"/>
      <c r="H74" s="32">
        <f>50280+124960+98150+148040+74990</f>
        <v>496420</v>
      </c>
      <c r="I74" s="14"/>
      <c r="J74" s="14"/>
      <c r="K74" s="14"/>
      <c r="L74" s="204">
        <f>'[11]1390'!H16</f>
        <v>491760</v>
      </c>
      <c r="M74" s="10">
        <f>+H74+J74-L74</f>
        <v>4660</v>
      </c>
      <c r="N74" s="22"/>
      <c r="O74" s="274" t="s">
        <v>12</v>
      </c>
      <c r="P74" s="444">
        <f>H74+(I74+J74)-(K74+L74)</f>
        <v>4660</v>
      </c>
    </row>
    <row r="75" spans="1:16" ht="15.75" x14ac:dyDescent="0.25">
      <c r="A75" s="399" t="s">
        <v>193</v>
      </c>
      <c r="B75" s="400" t="s">
        <v>455</v>
      </c>
      <c r="C75" s="401" t="s">
        <v>457</v>
      </c>
      <c r="D75" s="486" t="s">
        <v>183</v>
      </c>
      <c r="E75" s="402" t="s">
        <v>11</v>
      </c>
      <c r="F75" s="402" t="s">
        <v>10</v>
      </c>
      <c r="G75" s="403"/>
      <c r="H75" s="392">
        <v>240250</v>
      </c>
      <c r="I75" s="167"/>
      <c r="J75" s="167"/>
      <c r="K75" s="167"/>
      <c r="L75" s="404">
        <v>238250</v>
      </c>
      <c r="M75" s="405">
        <v>2000</v>
      </c>
      <c r="N75" s="421"/>
      <c r="O75" s="422" t="s">
        <v>332</v>
      </c>
      <c r="P75" s="445">
        <v>2000</v>
      </c>
    </row>
    <row r="76" spans="1:16" ht="15.75" x14ac:dyDescent="0.25">
      <c r="A76" s="151" t="s">
        <v>202</v>
      </c>
      <c r="B76" s="356" t="s">
        <v>785</v>
      </c>
      <c r="C76" s="151" t="s">
        <v>787</v>
      </c>
      <c r="D76" s="478" t="s">
        <v>67</v>
      </c>
      <c r="E76" s="151" t="s">
        <v>11</v>
      </c>
      <c r="F76" s="151" t="s">
        <v>10</v>
      </c>
      <c r="G76" s="344">
        <v>269310</v>
      </c>
      <c r="H76" s="254">
        <v>270520</v>
      </c>
      <c r="I76" s="14"/>
      <c r="J76" s="14"/>
      <c r="K76" s="14"/>
      <c r="L76" s="255">
        <v>268600</v>
      </c>
      <c r="M76" s="153">
        <v>1920</v>
      </c>
      <c r="N76" s="14"/>
      <c r="O76" s="2" t="s">
        <v>40</v>
      </c>
      <c r="P76" s="426">
        <v>1920</v>
      </c>
    </row>
    <row r="77" spans="1:16" ht="15.75" x14ac:dyDescent="0.25">
      <c r="A77" s="423" t="s">
        <v>198</v>
      </c>
      <c r="B77" s="424" t="s">
        <v>657</v>
      </c>
      <c r="C77" s="406" t="s">
        <v>660</v>
      </c>
      <c r="D77" s="487" t="s">
        <v>67</v>
      </c>
      <c r="E77" s="9" t="s">
        <v>11</v>
      </c>
      <c r="F77" s="9" t="s">
        <v>10</v>
      </c>
      <c r="G77" s="342"/>
      <c r="H77" s="496">
        <v>171010</v>
      </c>
      <c r="I77" s="497"/>
      <c r="J77" s="497"/>
      <c r="K77" s="497"/>
      <c r="L77" s="498">
        <v>169070</v>
      </c>
      <c r="M77" s="497">
        <v>1940</v>
      </c>
      <c r="N77" s="22"/>
      <c r="O77" s="425" t="s">
        <v>58</v>
      </c>
      <c r="P77" s="446">
        <v>1940</v>
      </c>
    </row>
    <row r="78" spans="1:16" s="12" customFormat="1" ht="15.75" x14ac:dyDescent="0.25">
      <c r="A78" s="28" t="s">
        <v>196</v>
      </c>
      <c r="B78" s="30" t="s">
        <v>651</v>
      </c>
      <c r="C78" s="73" t="s">
        <v>652</v>
      </c>
      <c r="D78" s="485" t="s">
        <v>67</v>
      </c>
      <c r="E78" s="13" t="s">
        <v>11</v>
      </c>
      <c r="F78" s="299" t="s">
        <v>10</v>
      </c>
      <c r="G78" s="340"/>
      <c r="H78" s="32">
        <v>26560</v>
      </c>
      <c r="I78" s="14"/>
      <c r="J78" s="14"/>
      <c r="K78" s="14"/>
      <c r="L78" s="204">
        <f>'[3]8875'!H14</f>
        <v>26080</v>
      </c>
      <c r="M78" s="10">
        <f>+H78+J78-L78</f>
        <v>480</v>
      </c>
      <c r="N78" s="22"/>
      <c r="O78" s="274" t="s">
        <v>57</v>
      </c>
      <c r="P78" s="61">
        <f>H78+(I78+J78)-(K78+L78)</f>
        <v>480</v>
      </c>
    </row>
    <row r="79" spans="1:16" s="12" customFormat="1" ht="15.75" x14ac:dyDescent="0.25">
      <c r="A79" s="28" t="s">
        <v>18</v>
      </c>
      <c r="B79" s="30" t="s">
        <v>337</v>
      </c>
      <c r="C79" s="86" t="s">
        <v>338</v>
      </c>
      <c r="D79" s="485" t="s">
        <v>74</v>
      </c>
      <c r="E79" s="13" t="s">
        <v>11</v>
      </c>
      <c r="F79" s="299" t="s">
        <v>10</v>
      </c>
      <c r="G79" s="340"/>
      <c r="H79" s="32">
        <f>100620+76490</f>
        <v>177110</v>
      </c>
      <c r="I79" s="14"/>
      <c r="J79" s="14"/>
      <c r="K79" s="14"/>
      <c r="L79" s="204">
        <f>'[3]127F'!H14</f>
        <v>173990</v>
      </c>
      <c r="M79" s="10">
        <f>+H79+J79-L79</f>
        <v>3120</v>
      </c>
      <c r="N79" s="22"/>
      <c r="O79" s="274" t="s">
        <v>185</v>
      </c>
      <c r="P79" s="61">
        <f>H79+(I79+J79)-(K79+L79)</f>
        <v>3120</v>
      </c>
    </row>
    <row r="80" spans="1:16" x14ac:dyDescent="0.25">
      <c r="A80" s="150" t="s">
        <v>387</v>
      </c>
      <c r="B80" s="356" t="s">
        <v>342</v>
      </c>
      <c r="C80" s="151" t="s">
        <v>343</v>
      </c>
      <c r="D80" s="478" t="s">
        <v>183</v>
      </c>
      <c r="E80" s="151" t="s">
        <v>11</v>
      </c>
      <c r="F80" s="151" t="s">
        <v>10</v>
      </c>
      <c r="G80" s="343"/>
      <c r="H80" s="254">
        <v>151030</v>
      </c>
      <c r="I80" s="151"/>
      <c r="J80" s="151"/>
      <c r="K80" s="151"/>
      <c r="L80" s="255">
        <v>148930</v>
      </c>
      <c r="M80" s="153">
        <v>2100</v>
      </c>
      <c r="N80" s="154"/>
      <c r="O80" s="353" t="s">
        <v>58</v>
      </c>
      <c r="P80" s="3">
        <v>2100</v>
      </c>
    </row>
    <row r="81" spans="1:16" x14ac:dyDescent="0.25">
      <c r="A81" s="150" t="s">
        <v>194</v>
      </c>
      <c r="B81" s="356" t="s">
        <v>522</v>
      </c>
      <c r="C81" s="151" t="s">
        <v>523</v>
      </c>
      <c r="D81" s="478" t="s">
        <v>67</v>
      </c>
      <c r="E81" s="151" t="s">
        <v>11</v>
      </c>
      <c r="F81" s="151" t="s">
        <v>10</v>
      </c>
      <c r="G81" s="343"/>
      <c r="H81" s="254">
        <v>396100</v>
      </c>
      <c r="I81" s="151"/>
      <c r="J81" s="151"/>
      <c r="K81" s="151"/>
      <c r="L81" s="255">
        <v>390550</v>
      </c>
      <c r="M81" s="153">
        <v>5550</v>
      </c>
      <c r="N81" s="154"/>
      <c r="O81" s="353" t="s">
        <v>15</v>
      </c>
      <c r="P81" s="3">
        <v>5550</v>
      </c>
    </row>
    <row r="82" spans="1:16" s="12" customFormat="1" ht="15.75" x14ac:dyDescent="0.25">
      <c r="A82" s="28" t="s">
        <v>226</v>
      </c>
      <c r="B82" s="30" t="s">
        <v>858</v>
      </c>
      <c r="C82" s="86" t="s">
        <v>859</v>
      </c>
      <c r="D82" s="485" t="s">
        <v>74</v>
      </c>
      <c r="E82" s="13" t="s">
        <v>11</v>
      </c>
      <c r="F82" s="299" t="s">
        <v>10</v>
      </c>
      <c r="G82" s="340">
        <v>210130</v>
      </c>
      <c r="H82" s="302">
        <f>26480+183850</f>
        <v>210330</v>
      </c>
      <c r="I82" s="14"/>
      <c r="J82" s="14"/>
      <c r="K82" s="14"/>
      <c r="L82" s="204">
        <f>'[3]6801'!H14</f>
        <v>208550</v>
      </c>
      <c r="M82" s="14">
        <f t="shared" ref="M82:M89" si="5">+H82+J82-L82</f>
        <v>1780</v>
      </c>
      <c r="N82" s="22"/>
      <c r="O82" s="274" t="s">
        <v>315</v>
      </c>
      <c r="P82" s="61">
        <f t="shared" ref="P82:P87" si="6">H82+(I82+J82)-(K82+L82)</f>
        <v>1780</v>
      </c>
    </row>
    <row r="83" spans="1:16" s="12" customFormat="1" ht="15.75" x14ac:dyDescent="0.25">
      <c r="A83" s="28" t="s">
        <v>17</v>
      </c>
      <c r="B83" s="30" t="s">
        <v>334</v>
      </c>
      <c r="C83" s="86" t="s">
        <v>335</v>
      </c>
      <c r="D83" s="273" t="s">
        <v>67</v>
      </c>
      <c r="E83" s="13" t="s">
        <v>11</v>
      </c>
      <c r="F83" s="299" t="s">
        <v>10</v>
      </c>
      <c r="G83" s="340"/>
      <c r="H83" s="32">
        <v>98540</v>
      </c>
      <c r="I83" s="14"/>
      <c r="J83" s="14"/>
      <c r="K83" s="14"/>
      <c r="L83" s="204">
        <f>'[4]3880'!H14</f>
        <v>97530</v>
      </c>
      <c r="M83" s="10">
        <f t="shared" si="5"/>
        <v>1010</v>
      </c>
      <c r="N83" s="22"/>
      <c r="O83" s="274" t="s">
        <v>329</v>
      </c>
      <c r="P83" s="61">
        <f t="shared" si="6"/>
        <v>1010</v>
      </c>
    </row>
    <row r="84" spans="1:16" s="12" customFormat="1" ht="15.75" x14ac:dyDescent="0.25">
      <c r="A84" s="28" t="s">
        <v>428</v>
      </c>
      <c r="B84" s="30" t="s">
        <v>359</v>
      </c>
      <c r="C84" s="86" t="s">
        <v>381</v>
      </c>
      <c r="D84" s="273" t="s">
        <v>67</v>
      </c>
      <c r="E84" s="13" t="s">
        <v>11</v>
      </c>
      <c r="F84" s="299" t="s">
        <v>10</v>
      </c>
      <c r="G84" s="340"/>
      <c r="H84" s="32">
        <f>77890+102050+126910+51130</f>
        <v>357980</v>
      </c>
      <c r="I84" s="14"/>
      <c r="J84" s="14"/>
      <c r="K84" s="14"/>
      <c r="L84" s="204">
        <f>'[4]4500'!H14</f>
        <v>352460</v>
      </c>
      <c r="M84" s="10">
        <f t="shared" si="5"/>
        <v>5520</v>
      </c>
      <c r="N84" s="22"/>
      <c r="O84" s="274" t="s">
        <v>15</v>
      </c>
      <c r="P84" s="61">
        <f t="shared" si="6"/>
        <v>5520</v>
      </c>
    </row>
    <row r="85" spans="1:16" s="12" customFormat="1" ht="15.75" x14ac:dyDescent="0.25">
      <c r="A85" s="28"/>
      <c r="B85" s="30" t="s">
        <v>262</v>
      </c>
      <c r="C85" s="419" t="s">
        <v>261</v>
      </c>
      <c r="D85" s="273" t="s">
        <v>74</v>
      </c>
      <c r="E85" s="13" t="s">
        <v>11</v>
      </c>
      <c r="F85" s="299" t="s">
        <v>10</v>
      </c>
      <c r="G85" s="340"/>
      <c r="H85" s="32">
        <f>81160+131430+25600</f>
        <v>238190</v>
      </c>
      <c r="I85" s="14"/>
      <c r="J85" s="14"/>
      <c r="K85" s="14"/>
      <c r="L85" s="204">
        <f>'[4]9467'!H14</f>
        <v>234690</v>
      </c>
      <c r="M85" s="405">
        <f t="shared" si="5"/>
        <v>3500</v>
      </c>
      <c r="N85" s="421"/>
      <c r="O85" s="274"/>
      <c r="P85" s="61">
        <f t="shared" si="6"/>
        <v>3500</v>
      </c>
    </row>
    <row r="86" spans="1:16" s="12" customFormat="1" ht="15.75" x14ac:dyDescent="0.25">
      <c r="A86" s="28" t="s">
        <v>200</v>
      </c>
      <c r="B86" s="282" t="s">
        <v>756</v>
      </c>
      <c r="C86" s="73" t="s">
        <v>757</v>
      </c>
      <c r="D86" s="305" t="s">
        <v>67</v>
      </c>
      <c r="E86" s="13" t="s">
        <v>11</v>
      </c>
      <c r="F86" s="299" t="s">
        <v>10</v>
      </c>
      <c r="G86" s="326">
        <v>266370</v>
      </c>
      <c r="H86" s="302">
        <f>134640+108090+26810</f>
        <v>269540</v>
      </c>
      <c r="I86" s="284"/>
      <c r="J86" s="167"/>
      <c r="K86" s="285"/>
      <c r="L86" s="702">
        <f>'[4]636B'!H14</f>
        <v>264630</v>
      </c>
      <c r="M86" s="14">
        <f t="shared" si="5"/>
        <v>4910</v>
      </c>
      <c r="N86" s="431" t="s">
        <v>40</v>
      </c>
      <c r="O86" s="703" t="s">
        <v>40</v>
      </c>
      <c r="P86" s="61">
        <f t="shared" si="6"/>
        <v>4910</v>
      </c>
    </row>
    <row r="87" spans="1:16" s="12" customFormat="1" ht="15.75" x14ac:dyDescent="0.25">
      <c r="A87" s="28" t="s">
        <v>25</v>
      </c>
      <c r="B87" s="30" t="s">
        <v>376</v>
      </c>
      <c r="C87" s="86" t="s">
        <v>382</v>
      </c>
      <c r="D87" s="273" t="s">
        <v>67</v>
      </c>
      <c r="E87" s="13" t="s">
        <v>11</v>
      </c>
      <c r="F87" s="299" t="s">
        <v>10</v>
      </c>
      <c r="G87" s="340"/>
      <c r="H87" s="32">
        <f>102290+152570+104780+50880+26620</f>
        <v>437140</v>
      </c>
      <c r="I87" s="14"/>
      <c r="J87" s="14"/>
      <c r="K87" s="14"/>
      <c r="L87" s="702">
        <f>'[6]4498'!H11</f>
        <v>428710</v>
      </c>
      <c r="M87" s="14">
        <f t="shared" si="5"/>
        <v>8430</v>
      </c>
      <c r="N87" s="14"/>
      <c r="O87" s="703" t="s">
        <v>364</v>
      </c>
      <c r="P87" s="61">
        <f t="shared" si="6"/>
        <v>8430</v>
      </c>
    </row>
    <row r="88" spans="1:16" s="561" customFormat="1" ht="15.75" x14ac:dyDescent="0.25">
      <c r="A88" s="499" t="s">
        <v>226</v>
      </c>
      <c r="B88" s="602" t="s">
        <v>610</v>
      </c>
      <c r="C88" s="86" t="s">
        <v>611</v>
      </c>
      <c r="D88" s="603" t="s">
        <v>186</v>
      </c>
      <c r="E88" s="604" t="s">
        <v>54</v>
      </c>
      <c r="F88" s="533" t="s">
        <v>10</v>
      </c>
      <c r="G88" s="605"/>
      <c r="H88" s="537">
        <v>130610</v>
      </c>
      <c r="I88" s="506"/>
      <c r="J88" s="506"/>
      <c r="K88" s="506"/>
      <c r="L88" s="616">
        <f>'[6]084F'!H8</f>
        <v>129140</v>
      </c>
      <c r="M88" s="704">
        <f t="shared" si="5"/>
        <v>1470</v>
      </c>
      <c r="N88" s="606" t="s">
        <v>993</v>
      </c>
      <c r="O88" s="508">
        <v>130610</v>
      </c>
      <c r="P88" s="607"/>
    </row>
    <row r="89" spans="1:16" s="561" customFormat="1" ht="15.75" x14ac:dyDescent="0.25">
      <c r="A89" s="499" t="s">
        <v>582</v>
      </c>
      <c r="B89" s="602" t="s">
        <v>806</v>
      </c>
      <c r="C89" s="86" t="s">
        <v>809</v>
      </c>
      <c r="D89" s="603" t="s">
        <v>74</v>
      </c>
      <c r="E89" s="604" t="s">
        <v>54</v>
      </c>
      <c r="F89" s="533" t="s">
        <v>10</v>
      </c>
      <c r="G89" s="605">
        <v>477340</v>
      </c>
      <c r="H89" s="608">
        <v>477280</v>
      </c>
      <c r="I89" s="506"/>
      <c r="J89" s="506"/>
      <c r="K89" s="506"/>
      <c r="L89" s="616">
        <f>[6]GREENTECC4!H15</f>
        <v>471800</v>
      </c>
      <c r="M89" s="506">
        <f t="shared" si="5"/>
        <v>5480</v>
      </c>
      <c r="N89" s="606" t="s">
        <v>969</v>
      </c>
      <c r="O89" s="508">
        <v>477280</v>
      </c>
      <c r="P89" s="607"/>
    </row>
    <row r="90" spans="1:16" s="12" customFormat="1" ht="15.75" x14ac:dyDescent="0.25">
      <c r="A90" s="28" t="s">
        <v>192</v>
      </c>
      <c r="B90" s="31" t="s">
        <v>818</v>
      </c>
      <c r="C90" s="86" t="s">
        <v>819</v>
      </c>
      <c r="D90" s="652" t="s">
        <v>134</v>
      </c>
      <c r="E90" s="653" t="s">
        <v>11</v>
      </c>
      <c r="F90" s="356" t="s">
        <v>10</v>
      </c>
      <c r="G90" s="340">
        <v>288930</v>
      </c>
      <c r="H90" s="302">
        <f>92190+195940</f>
        <v>288130</v>
      </c>
      <c r="I90" s="14"/>
      <c r="J90" s="14"/>
      <c r="K90" s="14"/>
      <c r="L90" s="204">
        <f>[7]GREENTECA1!H16</f>
        <v>284620</v>
      </c>
      <c r="M90" s="14">
        <f>+H90+J90-L90</f>
        <v>3510</v>
      </c>
      <c r="N90" s="22"/>
      <c r="O90" s="274" t="s">
        <v>811</v>
      </c>
      <c r="P90" s="61">
        <f>H90+(I90+J90)-(K90+L90)</f>
        <v>3510</v>
      </c>
    </row>
    <row r="91" spans="1:16" s="12" customFormat="1" ht="15.75" x14ac:dyDescent="0.25">
      <c r="A91" s="28" t="s">
        <v>193</v>
      </c>
      <c r="B91" s="31" t="s">
        <v>929</v>
      </c>
      <c r="C91" s="86" t="s">
        <v>930</v>
      </c>
      <c r="D91" s="652" t="s">
        <v>183</v>
      </c>
      <c r="E91" s="653" t="s">
        <v>11</v>
      </c>
      <c r="F91" s="356" t="s">
        <v>10</v>
      </c>
      <c r="G91" s="340">
        <v>485480</v>
      </c>
      <c r="H91" s="302">
        <f>158590+166110+133260+27610</f>
        <v>485570</v>
      </c>
      <c r="I91" s="14"/>
      <c r="J91" s="14"/>
      <c r="K91" s="14"/>
      <c r="L91" s="204">
        <f>'[7]3739'!H16</f>
        <v>478120</v>
      </c>
      <c r="M91" s="14">
        <f>+H91+J91-L91</f>
        <v>7450</v>
      </c>
      <c r="N91" s="22"/>
      <c r="O91" s="274" t="s">
        <v>214</v>
      </c>
      <c r="P91" s="61">
        <f>H91+(I91+J91)-(K91+L91)</f>
        <v>7450</v>
      </c>
    </row>
    <row r="92" spans="1:16" s="12" customFormat="1" ht="15.75" x14ac:dyDescent="0.25">
      <c r="A92" s="28" t="s">
        <v>200</v>
      </c>
      <c r="B92" s="31" t="s">
        <v>1062</v>
      </c>
      <c r="C92" s="86" t="s">
        <v>1064</v>
      </c>
      <c r="D92" s="652" t="s">
        <v>74</v>
      </c>
      <c r="E92" s="653" t="s">
        <v>54</v>
      </c>
      <c r="F92" s="356" t="s">
        <v>10</v>
      </c>
      <c r="G92" s="340">
        <v>268270</v>
      </c>
      <c r="H92" s="302">
        <f>134960+26880+107260</f>
        <v>269100</v>
      </c>
      <c r="I92" s="14"/>
      <c r="J92" s="14"/>
      <c r="K92" s="14"/>
      <c r="L92" s="204">
        <f>'[8]8302'!H11</f>
        <v>274030</v>
      </c>
      <c r="M92" s="14">
        <f>+H92+J92-L92</f>
        <v>-4930</v>
      </c>
      <c r="N92" s="22"/>
      <c r="O92" s="274" t="s">
        <v>40</v>
      </c>
      <c r="P92" s="61"/>
    </row>
    <row r="93" spans="1:16" s="12" customFormat="1" ht="15.75" x14ac:dyDescent="0.25">
      <c r="A93" s="28" t="s">
        <v>202</v>
      </c>
      <c r="B93" s="31" t="s">
        <v>1076</v>
      </c>
      <c r="C93" s="86" t="s">
        <v>1077</v>
      </c>
      <c r="D93" s="652" t="s">
        <v>74</v>
      </c>
      <c r="E93" s="653" t="s">
        <v>54</v>
      </c>
      <c r="F93" s="356" t="s">
        <v>10</v>
      </c>
      <c r="G93" s="340">
        <v>268680</v>
      </c>
      <c r="H93" s="302">
        <f>135790+133880</f>
        <v>269670</v>
      </c>
      <c r="I93" s="14"/>
      <c r="J93" s="14"/>
      <c r="K93" s="14"/>
      <c r="L93" s="204">
        <f>'[8]5370'!H11</f>
        <v>274610</v>
      </c>
      <c r="M93" s="14">
        <f>+H93+J93-L93</f>
        <v>-4940</v>
      </c>
      <c r="N93" s="22"/>
      <c r="O93" s="274" t="s">
        <v>40</v>
      </c>
      <c r="P93" s="61"/>
    </row>
    <row r="94" spans="1:16" s="688" customFormat="1" ht="18.75" x14ac:dyDescent="0.3">
      <c r="A94" s="689" t="s">
        <v>199</v>
      </c>
      <c r="B94" s="690" t="s">
        <v>1062</v>
      </c>
      <c r="C94" s="106" t="s">
        <v>1063</v>
      </c>
      <c r="D94" s="502" t="s">
        <v>74</v>
      </c>
      <c r="E94" s="691" t="s">
        <v>54</v>
      </c>
      <c r="F94" s="692" t="s">
        <v>10</v>
      </c>
      <c r="G94" s="504">
        <v>211740</v>
      </c>
      <c r="H94" s="537">
        <f>77940+131020</f>
        <v>208960</v>
      </c>
      <c r="I94" s="686"/>
      <c r="J94" s="538"/>
      <c r="K94" s="687"/>
      <c r="L94" s="666">
        <f>'[8]8600'!H11</f>
        <v>214140</v>
      </c>
      <c r="M94" s="642">
        <f>+H94+J94-L94</f>
        <v>-5180</v>
      </c>
      <c r="N94" s="693" t="s">
        <v>1087</v>
      </c>
      <c r="O94" s="559">
        <f>+H94+I94-K94</f>
        <v>208960</v>
      </c>
    </row>
    <row r="95" spans="1:16" x14ac:dyDescent="0.25">
      <c r="A95" s="150"/>
      <c r="B95" s="356"/>
      <c r="C95" s="151"/>
      <c r="D95" s="478"/>
      <c r="E95" s="151"/>
      <c r="F95" s="151"/>
      <c r="G95" s="343"/>
      <c r="H95" s="144"/>
      <c r="I95" s="151"/>
      <c r="J95" s="151"/>
      <c r="K95" s="151"/>
      <c r="L95" s="152"/>
      <c r="M95" s="153"/>
      <c r="N95" s="154"/>
      <c r="O95" s="353"/>
    </row>
    <row r="96" spans="1:16" x14ac:dyDescent="0.25">
      <c r="A96" s="150"/>
      <c r="B96" s="356"/>
      <c r="C96" s="151"/>
      <c r="D96" s="478"/>
      <c r="E96" s="151"/>
      <c r="F96" s="151"/>
      <c r="G96" s="343"/>
      <c r="H96" s="152"/>
      <c r="I96" s="151"/>
      <c r="J96" s="151"/>
      <c r="K96" s="151"/>
      <c r="L96" s="152"/>
      <c r="M96" s="153"/>
      <c r="N96" s="154"/>
      <c r="O96" s="353"/>
    </row>
    <row r="97" spans="1:16" ht="19.5" x14ac:dyDescent="0.3">
      <c r="A97" s="766" t="s">
        <v>133</v>
      </c>
      <c r="B97" s="767"/>
      <c r="C97" s="767"/>
      <c r="D97" s="767"/>
      <c r="E97" s="767"/>
      <c r="F97" s="767"/>
      <c r="G97" s="767"/>
      <c r="H97" s="767"/>
      <c r="I97" s="767"/>
      <c r="J97" s="767"/>
      <c r="K97" s="767"/>
      <c r="L97" s="768"/>
      <c r="M97" s="162">
        <f>SUM(M68:M96)</f>
        <v>189070</v>
      </c>
      <c r="N97" s="163"/>
      <c r="O97" s="459"/>
    </row>
    <row r="98" spans="1:16" s="147" customFormat="1" ht="16.5" x14ac:dyDescent="0.25">
      <c r="A98" s="760" t="s">
        <v>400</v>
      </c>
      <c r="B98" s="761"/>
      <c r="C98" s="761"/>
      <c r="D98" s="761"/>
      <c r="E98" s="761"/>
      <c r="F98" s="761"/>
      <c r="G98" s="761"/>
      <c r="H98" s="761"/>
      <c r="I98" s="761"/>
      <c r="J98" s="761"/>
      <c r="K98" s="761"/>
      <c r="L98" s="762"/>
      <c r="M98" s="145">
        <v>58700</v>
      </c>
      <c r="N98" s="146"/>
      <c r="O98" s="458"/>
      <c r="P98" s="3"/>
    </row>
    <row r="99" spans="1:16" ht="15.75" x14ac:dyDescent="0.25">
      <c r="A99" s="28" t="s">
        <v>422</v>
      </c>
      <c r="B99" s="31" t="s">
        <v>363</v>
      </c>
      <c r="C99" s="87" t="s">
        <v>365</v>
      </c>
      <c r="D99" s="475" t="s">
        <v>134</v>
      </c>
      <c r="E99" s="9" t="s">
        <v>54</v>
      </c>
      <c r="F99" s="9" t="s">
        <v>10</v>
      </c>
      <c r="G99" s="342"/>
      <c r="H99" s="346">
        <v>79500</v>
      </c>
      <c r="I99" s="177"/>
      <c r="J99" s="14"/>
      <c r="K99" s="5"/>
      <c r="L99" s="201">
        <v>79240</v>
      </c>
      <c r="M99" s="14">
        <v>260</v>
      </c>
      <c r="N99" s="13" t="s">
        <v>204</v>
      </c>
      <c r="O99" s="448">
        <v>79500</v>
      </c>
    </row>
    <row r="100" spans="1:16" ht="15.75" x14ac:dyDescent="0.25">
      <c r="A100" s="28" t="s">
        <v>33</v>
      </c>
      <c r="B100" s="357" t="s">
        <v>217</v>
      </c>
      <c r="C100" s="389" t="s">
        <v>218</v>
      </c>
      <c r="D100" s="488" t="s">
        <v>186</v>
      </c>
      <c r="E100" s="9" t="s">
        <v>54</v>
      </c>
      <c r="F100" s="9" t="s">
        <v>10</v>
      </c>
      <c r="G100" s="342"/>
      <c r="H100" s="346">
        <f>153740+177260+174860+177330</f>
        <v>683190</v>
      </c>
      <c r="I100" s="395"/>
      <c r="J100" s="14"/>
      <c r="K100" s="14"/>
      <c r="L100" s="53">
        <f>'[12]540A'!H16</f>
        <v>672680</v>
      </c>
      <c r="M100" s="14">
        <f>+H100+J100-L100</f>
        <v>10510</v>
      </c>
      <c r="N100" s="13" t="s">
        <v>219</v>
      </c>
      <c r="O100" s="448">
        <f>+H100+I100-K100</f>
        <v>683190</v>
      </c>
    </row>
    <row r="101" spans="1:16" ht="15.75" x14ac:dyDescent="0.25">
      <c r="A101" s="28" t="s">
        <v>32</v>
      </c>
      <c r="B101" s="357" t="s">
        <v>207</v>
      </c>
      <c r="C101" s="388" t="s">
        <v>208</v>
      </c>
      <c r="D101" s="488" t="s">
        <v>186</v>
      </c>
      <c r="E101" s="9" t="s">
        <v>54</v>
      </c>
      <c r="F101" s="9" t="s">
        <v>10</v>
      </c>
      <c r="G101" s="342"/>
      <c r="H101" s="346">
        <v>537760</v>
      </c>
      <c r="I101" s="395"/>
      <c r="J101" s="14"/>
      <c r="K101" s="14"/>
      <c r="L101" s="53">
        <v>531630</v>
      </c>
      <c r="M101" s="14">
        <v>6130</v>
      </c>
      <c r="N101" s="13" t="s">
        <v>12</v>
      </c>
      <c r="O101" s="448"/>
    </row>
    <row r="102" spans="1:16" ht="15.75" x14ac:dyDescent="0.25">
      <c r="A102" s="28" t="s">
        <v>387</v>
      </c>
      <c r="B102" s="30" t="s">
        <v>333</v>
      </c>
      <c r="C102" s="148" t="s">
        <v>336</v>
      </c>
      <c r="D102" s="488" t="s">
        <v>134</v>
      </c>
      <c r="E102" s="9" t="s">
        <v>54</v>
      </c>
      <c r="F102" s="9" t="s">
        <v>10</v>
      </c>
      <c r="G102" s="342"/>
      <c r="H102" s="347">
        <v>286100</v>
      </c>
      <c r="I102" s="395"/>
      <c r="J102" s="14"/>
      <c r="K102" s="14"/>
      <c r="L102" s="53">
        <v>283980</v>
      </c>
      <c r="M102" s="14">
        <v>2120</v>
      </c>
      <c r="N102" s="13" t="s">
        <v>16</v>
      </c>
      <c r="O102" s="448"/>
    </row>
    <row r="103" spans="1:16" ht="15.75" x14ac:dyDescent="0.25">
      <c r="A103" s="28" t="s">
        <v>22</v>
      </c>
      <c r="B103" s="357" t="s">
        <v>397</v>
      </c>
      <c r="C103" s="87" t="s">
        <v>398</v>
      </c>
      <c r="D103" s="475" t="s">
        <v>67</v>
      </c>
      <c r="E103" s="9" t="s">
        <v>54</v>
      </c>
      <c r="F103" s="9" t="s">
        <v>10</v>
      </c>
      <c r="G103" s="342"/>
      <c r="H103" s="346">
        <v>407600</v>
      </c>
      <c r="I103" s="177"/>
      <c r="J103" s="14"/>
      <c r="K103" s="5"/>
      <c r="L103" s="201">
        <v>405630</v>
      </c>
      <c r="M103" s="14">
        <v>1970</v>
      </c>
      <c r="N103" s="13" t="s">
        <v>317</v>
      </c>
      <c r="O103" s="448">
        <v>407600</v>
      </c>
    </row>
    <row r="104" spans="1:16" ht="15.75" x14ac:dyDescent="0.25">
      <c r="A104" s="164" t="s">
        <v>24</v>
      </c>
      <c r="B104" s="358" t="s">
        <v>703</v>
      </c>
      <c r="C104" s="148" t="s">
        <v>704</v>
      </c>
      <c r="D104" s="474" t="s">
        <v>74</v>
      </c>
      <c r="E104" s="57" t="s">
        <v>54</v>
      </c>
      <c r="F104" s="57" t="s">
        <v>10</v>
      </c>
      <c r="G104" s="342"/>
      <c r="H104" s="346">
        <v>269610</v>
      </c>
      <c r="I104" s="142"/>
      <c r="J104" s="33"/>
      <c r="K104" s="133"/>
      <c r="L104" s="201">
        <v>267600</v>
      </c>
      <c r="M104" s="33">
        <v>2010</v>
      </c>
      <c r="N104" s="148" t="s">
        <v>40</v>
      </c>
      <c r="O104" s="449">
        <v>269610</v>
      </c>
    </row>
    <row r="105" spans="1:16" ht="15.75" x14ac:dyDescent="0.25">
      <c r="A105" s="28" t="s">
        <v>30</v>
      </c>
      <c r="B105" s="31" t="s">
        <v>800</v>
      </c>
      <c r="C105" s="87" t="s">
        <v>801</v>
      </c>
      <c r="D105" s="305" t="s">
        <v>134</v>
      </c>
      <c r="E105" s="9" t="s">
        <v>54</v>
      </c>
      <c r="F105" s="9" t="s">
        <v>10</v>
      </c>
      <c r="G105" s="326">
        <v>614690</v>
      </c>
      <c r="H105" s="32">
        <f>228000+215640+171770</f>
        <v>615410</v>
      </c>
      <c r="I105" s="25"/>
      <c r="J105" s="14"/>
      <c r="K105" s="5"/>
      <c r="L105" s="201">
        <f>[5]GREENTECC8!H14</f>
        <v>612200</v>
      </c>
      <c r="M105" s="14">
        <f>+H105+J105-L105</f>
        <v>3210</v>
      </c>
      <c r="N105" s="318" t="s">
        <v>797</v>
      </c>
      <c r="O105" s="65">
        <f>+H105+I105-K105</f>
        <v>615410</v>
      </c>
    </row>
    <row r="106" spans="1:16" ht="15.75" x14ac:dyDescent="0.25">
      <c r="A106" s="28" t="s">
        <v>25</v>
      </c>
      <c r="B106" s="31" t="s">
        <v>711</v>
      </c>
      <c r="C106" s="87" t="s">
        <v>713</v>
      </c>
      <c r="D106" s="305" t="s">
        <v>183</v>
      </c>
      <c r="E106" s="9" t="s">
        <v>54</v>
      </c>
      <c r="F106" s="9" t="s">
        <v>10</v>
      </c>
      <c r="G106" s="326"/>
      <c r="H106" s="32">
        <f>129870+51510</f>
        <v>181380</v>
      </c>
      <c r="I106" s="25"/>
      <c r="J106" s="14"/>
      <c r="K106" s="5"/>
      <c r="L106" s="201">
        <f>'[5]7775'!H14</f>
        <v>178700</v>
      </c>
      <c r="M106" s="14">
        <f>+H106+J106-L106</f>
        <v>2680</v>
      </c>
      <c r="N106" s="317" t="s">
        <v>185</v>
      </c>
      <c r="O106" s="65">
        <f>+H106+I106-K106</f>
        <v>181380</v>
      </c>
    </row>
    <row r="107" spans="1:16" s="59" customFormat="1" ht="15.75" x14ac:dyDescent="0.25">
      <c r="A107" s="28" t="s">
        <v>33</v>
      </c>
      <c r="B107" s="31" t="s">
        <v>286</v>
      </c>
      <c r="C107" s="369" t="s">
        <v>287</v>
      </c>
      <c r="D107" s="305" t="s">
        <v>74</v>
      </c>
      <c r="E107" s="9" t="s">
        <v>54</v>
      </c>
      <c r="F107" s="9" t="s">
        <v>10</v>
      </c>
      <c r="G107" s="326"/>
      <c r="H107" s="32">
        <f>24770+101580+103810+149090+76600+49720</f>
        <v>505570</v>
      </c>
      <c r="I107" s="25"/>
      <c r="J107" s="14"/>
      <c r="K107" s="5"/>
      <c r="L107" s="201">
        <f>'[6]4230'!H19</f>
        <v>502620</v>
      </c>
      <c r="M107" s="14">
        <f>+H107+J107-L107</f>
        <v>2950</v>
      </c>
      <c r="N107" s="317" t="s">
        <v>12</v>
      </c>
      <c r="O107" s="65">
        <f>+H107+I107-K107</f>
        <v>505570</v>
      </c>
    </row>
    <row r="108" spans="1:16" ht="15.75" x14ac:dyDescent="0.25">
      <c r="A108" s="28" t="s">
        <v>26</v>
      </c>
      <c r="B108" s="31" t="s">
        <v>759</v>
      </c>
      <c r="C108" s="87" t="s">
        <v>760</v>
      </c>
      <c r="D108" s="305" t="s">
        <v>67</v>
      </c>
      <c r="E108" s="9" t="s">
        <v>54</v>
      </c>
      <c r="F108" s="9" t="s">
        <v>10</v>
      </c>
      <c r="G108" s="326"/>
      <c r="H108" s="32">
        <f>105340+156900</f>
        <v>262240</v>
      </c>
      <c r="I108" s="25"/>
      <c r="J108" s="14"/>
      <c r="K108" s="5"/>
      <c r="L108" s="201">
        <f>'[6]636E'!H11</f>
        <v>256840</v>
      </c>
      <c r="M108" s="14">
        <f>+H108+J108-L108</f>
        <v>5400</v>
      </c>
      <c r="N108" s="317" t="s">
        <v>40</v>
      </c>
      <c r="O108" s="65">
        <f>+H108+I108-K108</f>
        <v>262240</v>
      </c>
    </row>
    <row r="109" spans="1:16" s="12" customFormat="1" ht="15.75" x14ac:dyDescent="0.25">
      <c r="A109" s="28" t="s">
        <v>32</v>
      </c>
      <c r="B109" s="31" t="s">
        <v>280</v>
      </c>
      <c r="C109" s="87" t="s">
        <v>285</v>
      </c>
      <c r="D109" s="645" t="s">
        <v>67</v>
      </c>
      <c r="E109" s="649" t="s">
        <v>54</v>
      </c>
      <c r="F109" s="649" t="s">
        <v>10</v>
      </c>
      <c r="G109" s="326"/>
      <c r="H109" s="32">
        <f>102860+50990</f>
        <v>153850</v>
      </c>
      <c r="I109" s="25"/>
      <c r="J109" s="14"/>
      <c r="K109" s="5"/>
      <c r="L109" s="201">
        <f>'[8]6480'!H14</f>
        <v>152330</v>
      </c>
      <c r="M109" s="14">
        <f>+H109+J109-L109</f>
        <v>1520</v>
      </c>
      <c r="N109" s="317" t="s">
        <v>58</v>
      </c>
      <c r="O109" s="65">
        <f>+H109+I109-K109</f>
        <v>153850</v>
      </c>
    </row>
    <row r="110" spans="1:16" x14ac:dyDescent="0.25">
      <c r="A110" s="150"/>
      <c r="B110" s="356"/>
      <c r="C110" s="151"/>
      <c r="D110" s="478"/>
      <c r="E110" s="151"/>
      <c r="F110" s="151"/>
      <c r="G110" s="343"/>
      <c r="H110" s="152"/>
      <c r="I110" s="151"/>
      <c r="J110" s="151"/>
      <c r="K110" s="151"/>
      <c r="L110" s="152"/>
      <c r="M110" s="153"/>
      <c r="N110" s="151"/>
      <c r="O110" s="449"/>
    </row>
    <row r="111" spans="1:16" x14ac:dyDescent="0.25">
      <c r="A111" s="150"/>
      <c r="B111" s="356"/>
      <c r="C111" s="151"/>
      <c r="D111" s="478"/>
      <c r="E111" s="151"/>
      <c r="F111" s="151"/>
      <c r="G111" s="343"/>
      <c r="H111" s="152"/>
      <c r="I111" s="151"/>
      <c r="J111" s="151"/>
      <c r="K111" s="151"/>
      <c r="L111" s="152"/>
      <c r="M111" s="153"/>
      <c r="N111" s="151"/>
      <c r="O111" s="449"/>
    </row>
    <row r="112" spans="1:16" ht="19.5" x14ac:dyDescent="0.3">
      <c r="A112" s="766" t="s">
        <v>233</v>
      </c>
      <c r="B112" s="767"/>
      <c r="C112" s="767"/>
      <c r="D112" s="767"/>
      <c r="E112" s="767"/>
      <c r="F112" s="767"/>
      <c r="G112" s="767"/>
      <c r="H112" s="767"/>
      <c r="I112" s="767"/>
      <c r="J112" s="767"/>
      <c r="K112" s="767"/>
      <c r="L112" s="768"/>
      <c r="M112" s="162">
        <f>SUM(M98:M111)</f>
        <v>97460</v>
      </c>
      <c r="N112" s="452"/>
      <c r="O112" s="170"/>
    </row>
    <row r="113" spans="1:15" ht="16.5" x14ac:dyDescent="0.25">
      <c r="A113" s="760" t="s">
        <v>400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1"/>
      <c r="L113" s="762"/>
      <c r="M113" s="168">
        <v>56600</v>
      </c>
      <c r="N113" s="453"/>
      <c r="O113" s="446"/>
    </row>
    <row r="114" spans="1:15" ht="15.75" x14ac:dyDescent="0.25">
      <c r="A114" s="28" t="s">
        <v>324</v>
      </c>
      <c r="B114" s="31" t="s">
        <v>532</v>
      </c>
      <c r="C114" s="87" t="s">
        <v>538</v>
      </c>
      <c r="D114" s="477" t="s">
        <v>67</v>
      </c>
      <c r="E114" s="295" t="s">
        <v>54</v>
      </c>
      <c r="F114" s="295" t="s">
        <v>10</v>
      </c>
      <c r="G114" s="326"/>
      <c r="H114" s="32">
        <f>100510+102700+50940+77210+25190</f>
        <v>356550</v>
      </c>
      <c r="I114" s="177"/>
      <c r="J114" s="14"/>
      <c r="K114" s="5"/>
      <c r="L114" s="201">
        <f>'[13]4595'!H14</f>
        <v>354430</v>
      </c>
      <c r="M114" s="14">
        <f>+H114+J114-L114</f>
        <v>2120</v>
      </c>
      <c r="N114" s="431" t="s">
        <v>15</v>
      </c>
      <c r="O114" s="443"/>
    </row>
    <row r="115" spans="1:15" ht="15.75" x14ac:dyDescent="0.25">
      <c r="A115" s="164" t="s">
        <v>36</v>
      </c>
      <c r="B115" s="355" t="s">
        <v>220</v>
      </c>
      <c r="C115" s="148" t="s">
        <v>221</v>
      </c>
      <c r="D115" s="482" t="s">
        <v>186</v>
      </c>
      <c r="E115" s="57" t="s">
        <v>54</v>
      </c>
      <c r="F115" s="57" t="s">
        <v>10</v>
      </c>
      <c r="G115" s="342"/>
      <c r="H115" s="346">
        <v>512970</v>
      </c>
      <c r="I115" s="173"/>
      <c r="J115" s="33"/>
      <c r="K115" s="33"/>
      <c r="L115" s="53">
        <v>503260</v>
      </c>
      <c r="M115" s="33">
        <v>9710</v>
      </c>
      <c r="N115" s="148" t="s">
        <v>56</v>
      </c>
      <c r="O115" s="174">
        <v>512970</v>
      </c>
    </row>
    <row r="116" spans="1:15" ht="15.75" x14ac:dyDescent="0.25">
      <c r="A116" s="164" t="s">
        <v>33</v>
      </c>
      <c r="B116" s="355" t="s">
        <v>222</v>
      </c>
      <c r="C116" s="148" t="s">
        <v>223</v>
      </c>
      <c r="D116" s="482" t="s">
        <v>186</v>
      </c>
      <c r="E116" s="57" t="s">
        <v>54</v>
      </c>
      <c r="F116" s="57" t="s">
        <v>10</v>
      </c>
      <c r="G116" s="342"/>
      <c r="H116" s="346">
        <v>665350</v>
      </c>
      <c r="I116" s="173"/>
      <c r="J116" s="33"/>
      <c r="K116" s="33"/>
      <c r="L116" s="53">
        <v>655240</v>
      </c>
      <c r="M116" s="33">
        <v>10110</v>
      </c>
      <c r="N116" s="148" t="s">
        <v>224</v>
      </c>
      <c r="O116" s="174">
        <v>665350</v>
      </c>
    </row>
    <row r="117" spans="1:15" s="12" customFormat="1" ht="15.75" x14ac:dyDescent="0.25">
      <c r="A117" s="28" t="s">
        <v>32</v>
      </c>
      <c r="B117" s="30" t="s">
        <v>215</v>
      </c>
      <c r="C117" s="369" t="s">
        <v>216</v>
      </c>
      <c r="D117" s="489" t="s">
        <v>186</v>
      </c>
      <c r="E117" s="295" t="s">
        <v>54</v>
      </c>
      <c r="F117" s="295" t="s">
        <v>10</v>
      </c>
      <c r="G117" s="326"/>
      <c r="H117" s="32">
        <f>183290+296190+53630</f>
        <v>533110</v>
      </c>
      <c r="I117" s="395"/>
      <c r="J117" s="14"/>
      <c r="K117" s="14"/>
      <c r="L117" s="53">
        <v>526670</v>
      </c>
      <c r="M117" s="14">
        <f>+H117+J117-L117</f>
        <v>6440</v>
      </c>
      <c r="N117" s="431" t="s">
        <v>56</v>
      </c>
      <c r="O117" s="443">
        <f>+H117+I117-K117</f>
        <v>533110</v>
      </c>
    </row>
    <row r="118" spans="1:15" ht="15.75" x14ac:dyDescent="0.25">
      <c r="A118" s="28" t="s">
        <v>31</v>
      </c>
      <c r="B118" s="31" t="s">
        <v>526</v>
      </c>
      <c r="C118" s="87" t="s">
        <v>528</v>
      </c>
      <c r="D118" s="477" t="s">
        <v>67</v>
      </c>
      <c r="E118" s="295" t="s">
        <v>54</v>
      </c>
      <c r="F118" s="295" t="s">
        <v>10</v>
      </c>
      <c r="G118" s="326"/>
      <c r="H118" s="32">
        <f>178500+104310+130230</f>
        <v>413040</v>
      </c>
      <c r="I118" s="177"/>
      <c r="J118" s="14"/>
      <c r="K118" s="5"/>
      <c r="L118" s="201">
        <v>407720</v>
      </c>
      <c r="M118" s="14">
        <f>+H118+J118-L118</f>
        <v>5320</v>
      </c>
      <c r="N118" s="431" t="s">
        <v>317</v>
      </c>
      <c r="O118" s="443">
        <f>+H118+I118-K118</f>
        <v>413040</v>
      </c>
    </row>
    <row r="119" spans="1:15" ht="15.75" x14ac:dyDescent="0.25">
      <c r="A119" s="28" t="s">
        <v>20</v>
      </c>
      <c r="B119" s="31" t="s">
        <v>475</v>
      </c>
      <c r="C119" s="369" t="s">
        <v>478</v>
      </c>
      <c r="D119" s="477" t="s">
        <v>67</v>
      </c>
      <c r="E119" s="295" t="s">
        <v>54</v>
      </c>
      <c r="F119" s="295" t="s">
        <v>10</v>
      </c>
      <c r="G119" s="326"/>
      <c r="H119" s="32">
        <f>28600+164930+193950+28280</f>
        <v>415760</v>
      </c>
      <c r="I119" s="177"/>
      <c r="J119" s="14"/>
      <c r="K119" s="5"/>
      <c r="L119" s="201">
        <f>'[10]0080'!H14</f>
        <v>414820</v>
      </c>
      <c r="M119" s="14">
        <f>+H119+J119-L119</f>
        <v>940</v>
      </c>
      <c r="N119" s="431" t="s">
        <v>232</v>
      </c>
      <c r="O119" s="443">
        <f>+H119+I119-K119</f>
        <v>415760</v>
      </c>
    </row>
    <row r="120" spans="1:15" ht="15.75" x14ac:dyDescent="0.25">
      <c r="A120" s="164" t="s">
        <v>225</v>
      </c>
      <c r="B120" s="355" t="s">
        <v>832</v>
      </c>
      <c r="C120" s="148" t="s">
        <v>834</v>
      </c>
      <c r="D120" s="482" t="s">
        <v>74</v>
      </c>
      <c r="E120" s="57" t="s">
        <v>54</v>
      </c>
      <c r="F120" s="57" t="s">
        <v>10</v>
      </c>
      <c r="G120" s="342">
        <v>298878</v>
      </c>
      <c r="H120" s="346">
        <v>300440</v>
      </c>
      <c r="I120" s="173"/>
      <c r="J120" s="33"/>
      <c r="K120" s="33"/>
      <c r="L120" s="53">
        <v>298810</v>
      </c>
      <c r="M120" s="33">
        <v>1630</v>
      </c>
      <c r="N120" s="148" t="s">
        <v>16</v>
      </c>
      <c r="O120" s="174">
        <v>300440</v>
      </c>
    </row>
    <row r="121" spans="1:15" ht="15.75" x14ac:dyDescent="0.25">
      <c r="A121" s="28" t="s">
        <v>199</v>
      </c>
      <c r="B121" s="31" t="s">
        <v>597</v>
      </c>
      <c r="C121" s="87" t="s">
        <v>599</v>
      </c>
      <c r="D121" s="305" t="s">
        <v>67</v>
      </c>
      <c r="E121" s="295" t="s">
        <v>54</v>
      </c>
      <c r="F121" s="295" t="s">
        <v>10</v>
      </c>
      <c r="G121" s="326"/>
      <c r="H121" s="32">
        <f>74520+123940+174230+125720</f>
        <v>498410</v>
      </c>
      <c r="I121" s="25"/>
      <c r="J121" s="14"/>
      <c r="K121" s="5"/>
      <c r="L121" s="201">
        <f>'[4]4720'!H14</f>
        <v>492340</v>
      </c>
      <c r="M121" s="14">
        <f t="shared" ref="M121:M126" si="7">+H121+J121-L121</f>
        <v>6070</v>
      </c>
      <c r="N121" s="274" t="s">
        <v>12</v>
      </c>
      <c r="O121" s="65">
        <f t="shared" ref="O121:O126" si="8">+H121+I121-K121</f>
        <v>498410</v>
      </c>
    </row>
    <row r="122" spans="1:15" ht="15.75" x14ac:dyDescent="0.25">
      <c r="A122" s="28" t="s">
        <v>24</v>
      </c>
      <c r="B122" s="31" t="s">
        <v>507</v>
      </c>
      <c r="C122" s="87" t="s">
        <v>512</v>
      </c>
      <c r="D122" s="305" t="s">
        <v>74</v>
      </c>
      <c r="E122" s="295" t="s">
        <v>54</v>
      </c>
      <c r="F122" s="295" t="s">
        <v>10</v>
      </c>
      <c r="G122" s="326"/>
      <c r="H122" s="32">
        <f>82250+138130+109370</f>
        <v>329750</v>
      </c>
      <c r="I122" s="25"/>
      <c r="J122" s="14"/>
      <c r="K122" s="5"/>
      <c r="L122" s="201">
        <f>'[4]3248'!H14</f>
        <v>326300</v>
      </c>
      <c r="M122" s="14">
        <f t="shared" si="7"/>
        <v>3450</v>
      </c>
      <c r="N122" s="274" t="s">
        <v>44</v>
      </c>
      <c r="O122" s="65">
        <f t="shared" si="8"/>
        <v>329750</v>
      </c>
    </row>
    <row r="123" spans="1:15" ht="15.75" x14ac:dyDescent="0.25">
      <c r="A123" s="28" t="s">
        <v>425</v>
      </c>
      <c r="B123" s="31" t="s">
        <v>494</v>
      </c>
      <c r="C123" s="87" t="s">
        <v>499</v>
      </c>
      <c r="D123" s="305" t="s">
        <v>74</v>
      </c>
      <c r="E123" s="295" t="s">
        <v>54</v>
      </c>
      <c r="F123" s="295" t="s">
        <v>10</v>
      </c>
      <c r="G123" s="326"/>
      <c r="H123" s="32">
        <f>152050+148520+25050</f>
        <v>325620</v>
      </c>
      <c r="I123" s="25"/>
      <c r="J123" s="14"/>
      <c r="K123" s="5"/>
      <c r="L123" s="201">
        <f>'[4]119E'!H14</f>
        <v>321690</v>
      </c>
      <c r="M123" s="14">
        <f t="shared" si="7"/>
        <v>3930</v>
      </c>
      <c r="N123" s="274" t="s">
        <v>403</v>
      </c>
      <c r="O123" s="65">
        <f t="shared" si="8"/>
        <v>325620</v>
      </c>
    </row>
    <row r="124" spans="1:15" ht="15.75" x14ac:dyDescent="0.25">
      <c r="A124" s="28" t="s">
        <v>226</v>
      </c>
      <c r="B124" s="31" t="s">
        <v>877</v>
      </c>
      <c r="C124" s="87" t="s">
        <v>878</v>
      </c>
      <c r="D124" s="305" t="s">
        <v>183</v>
      </c>
      <c r="E124" s="295" t="s">
        <v>54</v>
      </c>
      <c r="F124" s="295" t="s">
        <v>10</v>
      </c>
      <c r="G124" s="326">
        <v>351984</v>
      </c>
      <c r="H124" s="32">
        <f>137200+137110+81980</f>
        <v>356290</v>
      </c>
      <c r="I124" s="25"/>
      <c r="J124" s="14"/>
      <c r="K124" s="5"/>
      <c r="L124" s="201">
        <f>'[4]0334'!H14</f>
        <v>354400</v>
      </c>
      <c r="M124" s="14">
        <f t="shared" si="7"/>
        <v>1890</v>
      </c>
      <c r="N124" s="274" t="s">
        <v>403</v>
      </c>
      <c r="O124" s="65">
        <f t="shared" si="8"/>
        <v>356290</v>
      </c>
    </row>
    <row r="125" spans="1:15" ht="15.75" x14ac:dyDescent="0.25">
      <c r="A125" s="28" t="s">
        <v>18</v>
      </c>
      <c r="B125" s="31" t="s">
        <v>471</v>
      </c>
      <c r="C125" s="87" t="s">
        <v>472</v>
      </c>
      <c r="D125" s="305" t="s">
        <v>67</v>
      </c>
      <c r="E125" s="295" t="s">
        <v>54</v>
      </c>
      <c r="F125" s="295" t="s">
        <v>10</v>
      </c>
      <c r="G125" s="326"/>
      <c r="H125" s="32">
        <f>25440+209030+158650+131370</f>
        <v>524490</v>
      </c>
      <c r="I125" s="25"/>
      <c r="J125" s="14"/>
      <c r="K125" s="5"/>
      <c r="L125" s="201">
        <f>'[6]3383'!H14</f>
        <v>515520</v>
      </c>
      <c r="M125" s="14">
        <f t="shared" si="7"/>
        <v>8970</v>
      </c>
      <c r="N125" s="274" t="s">
        <v>12</v>
      </c>
      <c r="O125" s="65">
        <f t="shared" si="8"/>
        <v>524490</v>
      </c>
    </row>
    <row r="126" spans="1:15" ht="15.75" x14ac:dyDescent="0.25">
      <c r="A126" s="28" t="s">
        <v>196</v>
      </c>
      <c r="B126" s="31" t="s">
        <v>543</v>
      </c>
      <c r="C126" s="87" t="s">
        <v>545</v>
      </c>
      <c r="D126" s="305" t="s">
        <v>67</v>
      </c>
      <c r="E126" s="295" t="s">
        <v>54</v>
      </c>
      <c r="F126" s="295" t="s">
        <v>10</v>
      </c>
      <c r="G126" s="326"/>
      <c r="H126" s="32">
        <f>51680+101940</f>
        <v>153620</v>
      </c>
      <c r="I126" s="25"/>
      <c r="J126" s="14"/>
      <c r="K126" s="5"/>
      <c r="L126" s="201">
        <f>'[6]4596'!H14</f>
        <v>150830</v>
      </c>
      <c r="M126" s="14">
        <f t="shared" si="7"/>
        <v>2790</v>
      </c>
      <c r="N126" s="274" t="s">
        <v>58</v>
      </c>
      <c r="O126" s="65">
        <f t="shared" si="8"/>
        <v>153620</v>
      </c>
    </row>
    <row r="127" spans="1:15" ht="15.75" x14ac:dyDescent="0.25">
      <c r="A127" s="28"/>
      <c r="B127" s="31"/>
      <c r="C127" s="87"/>
      <c r="D127" s="305"/>
      <c r="E127" s="295"/>
      <c r="F127" s="295"/>
      <c r="G127" s="326"/>
      <c r="H127" s="32"/>
      <c r="I127" s="177"/>
      <c r="J127" s="14"/>
      <c r="K127" s="5"/>
      <c r="L127" s="201"/>
      <c r="M127" s="14"/>
      <c r="N127" s="469"/>
      <c r="O127" s="443"/>
    </row>
    <row r="128" spans="1:15" ht="15.75" x14ac:dyDescent="0.25">
      <c r="A128" s="28"/>
      <c r="B128" s="31"/>
      <c r="C128" s="87"/>
      <c r="D128" s="305"/>
      <c r="E128" s="295"/>
      <c r="F128" s="295"/>
      <c r="G128" s="326"/>
      <c r="H128" s="32"/>
      <c r="I128" s="177"/>
      <c r="J128" s="14"/>
      <c r="K128" s="5"/>
      <c r="L128" s="201"/>
      <c r="M128" s="14"/>
      <c r="N128" s="469"/>
      <c r="O128" s="443"/>
    </row>
    <row r="129" spans="1:15" ht="15.75" x14ac:dyDescent="0.25">
      <c r="A129" s="28"/>
      <c r="B129" s="31"/>
      <c r="C129" s="87"/>
      <c r="D129" s="305"/>
      <c r="E129" s="295"/>
      <c r="F129" s="295"/>
      <c r="G129" s="326"/>
      <c r="H129" s="32"/>
      <c r="I129" s="177"/>
      <c r="J129" s="14"/>
      <c r="K129" s="5"/>
      <c r="L129" s="201"/>
      <c r="M129" s="14"/>
      <c r="N129" s="469"/>
      <c r="O129" s="443"/>
    </row>
    <row r="130" spans="1:15" ht="15.75" x14ac:dyDescent="0.25">
      <c r="A130" s="28"/>
      <c r="B130" s="31"/>
      <c r="C130" s="87"/>
      <c r="D130" s="305"/>
      <c r="E130" s="295"/>
      <c r="F130" s="295"/>
      <c r="G130" s="326"/>
      <c r="H130" s="32"/>
      <c r="I130" s="177"/>
      <c r="J130" s="14"/>
      <c r="K130" s="5"/>
      <c r="L130" s="201"/>
      <c r="M130" s="14"/>
      <c r="N130" s="469"/>
      <c r="O130" s="443"/>
    </row>
    <row r="131" spans="1:15" x14ac:dyDescent="0.25">
      <c r="A131" s="150"/>
      <c r="B131" s="356"/>
      <c r="C131" s="151"/>
      <c r="D131" s="478"/>
      <c r="E131" s="151"/>
      <c r="F131" s="151"/>
      <c r="G131" s="343"/>
      <c r="H131" s="152"/>
      <c r="I131" s="151"/>
      <c r="J131" s="151"/>
      <c r="K131" s="151"/>
      <c r="L131" s="152"/>
      <c r="M131" s="153">
        <v>0</v>
      </c>
      <c r="N131" s="151"/>
      <c r="O131" s="398"/>
    </row>
    <row r="132" spans="1:15" x14ac:dyDescent="0.25">
      <c r="A132" s="150"/>
      <c r="B132" s="356"/>
      <c r="C132" s="151"/>
      <c r="D132" s="478"/>
      <c r="E132" s="151"/>
      <c r="F132" s="151"/>
      <c r="G132" s="343"/>
      <c r="H132" s="152"/>
      <c r="I132" s="151"/>
      <c r="J132" s="151"/>
      <c r="K132" s="151"/>
      <c r="L132" s="152"/>
      <c r="M132" s="153"/>
      <c r="N132" s="151"/>
      <c r="O132" s="398"/>
    </row>
    <row r="133" spans="1:15" ht="19.5" x14ac:dyDescent="0.3">
      <c r="A133" s="766" t="s">
        <v>234</v>
      </c>
      <c r="B133" s="767"/>
      <c r="C133" s="767"/>
      <c r="D133" s="767"/>
      <c r="E133" s="767"/>
      <c r="F133" s="767"/>
      <c r="G133" s="767"/>
      <c r="H133" s="767"/>
      <c r="I133" s="767"/>
      <c r="J133" s="767"/>
      <c r="K133" s="767"/>
      <c r="L133" s="768"/>
      <c r="M133" s="162">
        <f>SUM(M113:M132)</f>
        <v>119970</v>
      </c>
      <c r="N133" s="452"/>
      <c r="O133" s="170"/>
    </row>
    <row r="134" spans="1:15" ht="16.5" x14ac:dyDescent="0.25">
      <c r="A134" s="760" t="s">
        <v>400</v>
      </c>
      <c r="B134" s="761"/>
      <c r="C134" s="761"/>
      <c r="D134" s="761"/>
      <c r="E134" s="761"/>
      <c r="F134" s="761"/>
      <c r="G134" s="761"/>
      <c r="H134" s="761"/>
      <c r="I134" s="761"/>
      <c r="J134" s="761"/>
      <c r="K134" s="761"/>
      <c r="L134" s="762"/>
      <c r="M134" s="168">
        <v>63330</v>
      </c>
      <c r="N134" s="453"/>
      <c r="O134" s="457"/>
    </row>
    <row r="135" spans="1:15" ht="15.75" x14ac:dyDescent="0.25">
      <c r="A135" s="28" t="s">
        <v>30</v>
      </c>
      <c r="B135" s="31" t="s">
        <v>442</v>
      </c>
      <c r="C135" s="87" t="s">
        <v>444</v>
      </c>
      <c r="D135" s="475" t="s">
        <v>183</v>
      </c>
      <c r="E135" s="9" t="s">
        <v>54</v>
      </c>
      <c r="F135" s="9" t="s">
        <v>10</v>
      </c>
      <c r="G135" s="342"/>
      <c r="H135" s="346">
        <v>293170</v>
      </c>
      <c r="I135" s="177"/>
      <c r="J135" s="14"/>
      <c r="K135" s="5"/>
      <c r="L135" s="201">
        <v>291820</v>
      </c>
      <c r="M135" s="14">
        <v>1350</v>
      </c>
      <c r="N135" s="13" t="s">
        <v>16</v>
      </c>
      <c r="O135" s="443">
        <v>293170</v>
      </c>
    </row>
    <row r="136" spans="1:15" ht="15.75" x14ac:dyDescent="0.25">
      <c r="A136" s="28" t="s">
        <v>198</v>
      </c>
      <c r="B136" s="31" t="s">
        <v>491</v>
      </c>
      <c r="C136" s="87" t="s">
        <v>492</v>
      </c>
      <c r="D136" s="475" t="s">
        <v>183</v>
      </c>
      <c r="E136" s="9" t="s">
        <v>54</v>
      </c>
      <c r="F136" s="9" t="s">
        <v>10</v>
      </c>
      <c r="G136" s="342"/>
      <c r="H136" s="346">
        <f>26880+209860+129920+51330</f>
        <v>417990</v>
      </c>
      <c r="I136" s="177"/>
      <c r="J136" s="14"/>
      <c r="K136" s="5"/>
      <c r="L136" s="201">
        <f>'[12]095I'!H12</f>
        <v>416910</v>
      </c>
      <c r="M136" s="14">
        <f>+H136+J136-L136</f>
        <v>1080</v>
      </c>
      <c r="N136" s="13" t="s">
        <v>317</v>
      </c>
      <c r="O136" s="443">
        <f>+H136+I136-K136</f>
        <v>417990</v>
      </c>
    </row>
    <row r="137" spans="1:15" ht="15.75" x14ac:dyDescent="0.25">
      <c r="A137" s="28" t="s">
        <v>425</v>
      </c>
      <c r="B137" s="31" t="s">
        <v>500</v>
      </c>
      <c r="C137" s="87" t="s">
        <v>502</v>
      </c>
      <c r="D137" s="477" t="s">
        <v>183</v>
      </c>
      <c r="E137" s="9" t="s">
        <v>54</v>
      </c>
      <c r="F137" s="295" t="s">
        <v>10</v>
      </c>
      <c r="G137" s="334"/>
      <c r="H137" s="32">
        <v>178880</v>
      </c>
      <c r="I137" s="177"/>
      <c r="J137" s="14"/>
      <c r="K137" s="5"/>
      <c r="L137" s="201">
        <f>'[2]886A'!H14</f>
        <v>177720</v>
      </c>
      <c r="M137" s="14">
        <f>+H137+J137-L137</f>
        <v>1160</v>
      </c>
      <c r="N137" s="455" t="s">
        <v>185</v>
      </c>
      <c r="O137" s="443">
        <f>+H137+I137-K137</f>
        <v>178880</v>
      </c>
    </row>
    <row r="138" spans="1:15" s="12" customFormat="1" ht="15.75" x14ac:dyDescent="0.25">
      <c r="A138" s="28" t="s">
        <v>23</v>
      </c>
      <c r="B138" s="55" t="s">
        <v>507</v>
      </c>
      <c r="C138" s="106" t="s">
        <v>518</v>
      </c>
      <c r="D138" s="482" t="s">
        <v>67</v>
      </c>
      <c r="E138" s="57" t="s">
        <v>54</v>
      </c>
      <c r="F138" s="57" t="s">
        <v>10</v>
      </c>
      <c r="G138" s="342"/>
      <c r="H138" s="346">
        <v>524660</v>
      </c>
      <c r="I138" s="173"/>
      <c r="J138" s="33"/>
      <c r="K138" s="33"/>
      <c r="L138" s="53">
        <v>521110</v>
      </c>
      <c r="M138" s="14">
        <v>3550</v>
      </c>
      <c r="N138" s="13" t="s">
        <v>12</v>
      </c>
      <c r="O138" s="443">
        <v>524660</v>
      </c>
    </row>
    <row r="139" spans="1:15" ht="15.75" x14ac:dyDescent="0.25">
      <c r="A139" s="164" t="s">
        <v>426</v>
      </c>
      <c r="B139" s="354" t="s">
        <v>500</v>
      </c>
      <c r="C139" s="172" t="s">
        <v>503</v>
      </c>
      <c r="D139" s="479" t="s">
        <v>183</v>
      </c>
      <c r="E139" s="148" t="s">
        <v>54</v>
      </c>
      <c r="F139" s="148" t="s">
        <v>10</v>
      </c>
      <c r="G139" s="345"/>
      <c r="H139" s="347">
        <v>331470</v>
      </c>
      <c r="I139" s="397"/>
      <c r="J139" s="148"/>
      <c r="K139" s="148"/>
      <c r="L139" s="255">
        <v>329560</v>
      </c>
      <c r="M139" s="169">
        <v>1910</v>
      </c>
      <c r="N139" s="148" t="s">
        <v>403</v>
      </c>
      <c r="O139" s="174">
        <v>331470</v>
      </c>
    </row>
    <row r="140" spans="1:15" ht="15.75" x14ac:dyDescent="0.25">
      <c r="A140" s="28" t="s">
        <v>24</v>
      </c>
      <c r="B140" s="31" t="s">
        <v>532</v>
      </c>
      <c r="C140" s="87" t="s">
        <v>537</v>
      </c>
      <c r="D140" s="477" t="s">
        <v>186</v>
      </c>
      <c r="E140" s="9" t="s">
        <v>54</v>
      </c>
      <c r="F140" s="295" t="s">
        <v>10</v>
      </c>
      <c r="G140" s="334"/>
      <c r="H140" s="32">
        <f>128460+102040</f>
        <v>230500</v>
      </c>
      <c r="I140" s="177"/>
      <c r="J140" s="14"/>
      <c r="K140" s="5"/>
      <c r="L140" s="201">
        <f>'[10]079J'!H14</f>
        <v>229020</v>
      </c>
      <c r="M140" s="14">
        <f>+H140+J140-L140</f>
        <v>1480</v>
      </c>
      <c r="N140" s="455" t="s">
        <v>332</v>
      </c>
      <c r="O140" s="443">
        <f>+H140+I140-K140</f>
        <v>230500</v>
      </c>
    </row>
    <row r="141" spans="1:15" ht="15.75" x14ac:dyDescent="0.25">
      <c r="A141" s="54" t="s">
        <v>27</v>
      </c>
      <c r="B141" s="355" t="s">
        <v>814</v>
      </c>
      <c r="C141" s="172" t="s">
        <v>817</v>
      </c>
      <c r="D141" s="482" t="s">
        <v>134</v>
      </c>
      <c r="E141" s="57" t="s">
        <v>54</v>
      </c>
      <c r="F141" s="57" t="s">
        <v>10</v>
      </c>
      <c r="G141" s="342">
        <v>521700</v>
      </c>
      <c r="H141" s="347">
        <v>522050</v>
      </c>
      <c r="I141" s="173"/>
      <c r="J141" s="33"/>
      <c r="K141" s="33"/>
      <c r="L141" s="53">
        <v>517580</v>
      </c>
      <c r="M141" s="33">
        <v>4470</v>
      </c>
      <c r="N141" s="454" t="s">
        <v>797</v>
      </c>
      <c r="O141" s="450">
        <v>522050</v>
      </c>
    </row>
    <row r="142" spans="1:15" ht="15.75" x14ac:dyDescent="0.25">
      <c r="A142" s="28" t="s">
        <v>25</v>
      </c>
      <c r="B142" s="31" t="s">
        <v>764</v>
      </c>
      <c r="C142" s="87" t="s">
        <v>765</v>
      </c>
      <c r="D142" s="272" t="s">
        <v>67</v>
      </c>
      <c r="E142" s="9" t="s">
        <v>54</v>
      </c>
      <c r="F142" s="295" t="s">
        <v>10</v>
      </c>
      <c r="G142" s="334">
        <v>262660</v>
      </c>
      <c r="H142" s="32">
        <f>184940+78910</f>
        <v>263850</v>
      </c>
      <c r="I142" s="25"/>
      <c r="J142" s="14"/>
      <c r="K142" s="5"/>
      <c r="L142" s="201">
        <f>'[4]636C'!H14</f>
        <v>262020</v>
      </c>
      <c r="M142" s="14">
        <f>+H142+J142-L142</f>
        <v>1830</v>
      </c>
      <c r="N142" s="317" t="s">
        <v>40</v>
      </c>
      <c r="O142" s="65">
        <f>+H142+I142-K142</f>
        <v>263850</v>
      </c>
    </row>
    <row r="143" spans="1:15" ht="15.75" x14ac:dyDescent="0.25">
      <c r="A143" s="28" t="s">
        <v>29</v>
      </c>
      <c r="B143" s="31" t="s">
        <v>861</v>
      </c>
      <c r="C143" s="87" t="s">
        <v>862</v>
      </c>
      <c r="D143" s="272" t="s">
        <v>74</v>
      </c>
      <c r="E143" s="9" t="s">
        <v>54</v>
      </c>
      <c r="F143" s="295" t="s">
        <v>10</v>
      </c>
      <c r="G143" s="334">
        <v>212060</v>
      </c>
      <c r="H143" s="32">
        <f>53530+158940</f>
        <v>212470</v>
      </c>
      <c r="I143" s="25"/>
      <c r="J143" s="14"/>
      <c r="K143" s="5"/>
      <c r="L143" s="201">
        <f>'[4]5700'!H14</f>
        <v>209850</v>
      </c>
      <c r="M143" s="14">
        <f>+H143+J143-L143</f>
        <v>2620</v>
      </c>
      <c r="N143" s="315" t="s">
        <v>315</v>
      </c>
      <c r="O143" s="65">
        <f>+H143+I143-K143</f>
        <v>212470</v>
      </c>
    </row>
    <row r="144" spans="1:15" ht="15.75" x14ac:dyDescent="0.25">
      <c r="A144" s="28" t="s">
        <v>28</v>
      </c>
      <c r="B144" s="31" t="s">
        <v>824</v>
      </c>
      <c r="C144" s="87" t="s">
        <v>826</v>
      </c>
      <c r="D144" s="272" t="s">
        <v>74</v>
      </c>
      <c r="E144" s="9" t="s">
        <v>54</v>
      </c>
      <c r="F144" s="295" t="s">
        <v>10</v>
      </c>
      <c r="G144" s="334">
        <v>458881</v>
      </c>
      <c r="H144" s="32">
        <f>136730+137240+184310</f>
        <v>458280</v>
      </c>
      <c r="I144" s="25"/>
      <c r="J144" s="14"/>
      <c r="K144" s="5"/>
      <c r="L144" s="201">
        <f>'[4]0400'!H14</f>
        <v>451780</v>
      </c>
      <c r="M144" s="14">
        <f>+H144+J144-L144</f>
        <v>6500</v>
      </c>
      <c r="N144" s="315" t="s">
        <v>364</v>
      </c>
      <c r="O144" s="65">
        <f>+H144+I144-K144</f>
        <v>458280</v>
      </c>
    </row>
    <row r="145" spans="1:15" ht="15.75" x14ac:dyDescent="0.25">
      <c r="A145" s="28" t="s">
        <v>423</v>
      </c>
      <c r="B145" s="31" t="s">
        <v>471</v>
      </c>
      <c r="C145" s="87" t="s">
        <v>473</v>
      </c>
      <c r="D145" s="272" t="s">
        <v>67</v>
      </c>
      <c r="E145" s="9" t="s">
        <v>54</v>
      </c>
      <c r="F145" s="295" t="s">
        <v>10</v>
      </c>
      <c r="G145" s="334"/>
      <c r="H145" s="32">
        <f>137150+34210</f>
        <v>171360</v>
      </c>
      <c r="I145" s="25"/>
      <c r="J145" s="14"/>
      <c r="K145" s="5"/>
      <c r="L145" s="201">
        <f>'[6]0458'!H11</f>
        <v>168390</v>
      </c>
      <c r="M145" s="14">
        <f>+H145+J145-L145</f>
        <v>2970</v>
      </c>
      <c r="N145" s="315" t="s">
        <v>214</v>
      </c>
      <c r="O145" s="65">
        <f>+H145+I145-K145</f>
        <v>171360</v>
      </c>
    </row>
    <row r="146" spans="1:15" ht="15.75" x14ac:dyDescent="0.25">
      <c r="A146" s="28" t="s">
        <v>26</v>
      </c>
      <c r="B146" s="31" t="s">
        <v>800</v>
      </c>
      <c r="C146" s="87" t="s">
        <v>802</v>
      </c>
      <c r="D146" s="645" t="s">
        <v>134</v>
      </c>
      <c r="E146" s="649" t="s">
        <v>54</v>
      </c>
      <c r="F146" s="649" t="s">
        <v>10</v>
      </c>
      <c r="G146" s="334">
        <v>319860</v>
      </c>
      <c r="H146" s="32">
        <f>106230+214480</f>
        <v>320710</v>
      </c>
      <c r="I146" s="25"/>
      <c r="J146" s="14"/>
      <c r="K146" s="5"/>
      <c r="L146" s="201">
        <f>'[8]GREENTEC A8'!H14</f>
        <v>318390</v>
      </c>
      <c r="M146" s="14">
        <f>+H146+J146-L146</f>
        <v>2320</v>
      </c>
      <c r="N146" s="315" t="s">
        <v>797</v>
      </c>
      <c r="O146" s="65">
        <f>+H146+I146-K146</f>
        <v>320710</v>
      </c>
    </row>
    <row r="147" spans="1:15" x14ac:dyDescent="0.25">
      <c r="A147" s="150"/>
      <c r="B147" s="356"/>
      <c r="C147" s="151"/>
      <c r="D147" s="478"/>
      <c r="E147" s="151"/>
      <c r="F147" s="151"/>
      <c r="G147" s="343"/>
      <c r="H147" s="152"/>
      <c r="I147" s="151"/>
      <c r="J147" s="151"/>
      <c r="K147" s="151"/>
      <c r="L147" s="152"/>
      <c r="M147" s="153"/>
      <c r="N147" s="151"/>
      <c r="O147" s="398"/>
    </row>
    <row r="148" spans="1:15" x14ac:dyDescent="0.25">
      <c r="A148" s="150"/>
      <c r="B148" s="356"/>
      <c r="C148" s="151"/>
      <c r="D148" s="478"/>
      <c r="E148" s="151"/>
      <c r="F148" s="151"/>
      <c r="G148" s="343"/>
      <c r="H148" s="152"/>
      <c r="I148" s="151"/>
      <c r="J148" s="151"/>
      <c r="K148" s="151"/>
      <c r="L148" s="152"/>
      <c r="M148" s="153"/>
      <c r="N148" s="151"/>
      <c r="O148" s="398"/>
    </row>
    <row r="149" spans="1:15" x14ac:dyDescent="0.25">
      <c r="A149" s="150"/>
      <c r="B149" s="356"/>
      <c r="C149" s="151"/>
      <c r="D149" s="478"/>
      <c r="E149" s="151"/>
      <c r="F149" s="151"/>
      <c r="G149" s="343"/>
      <c r="H149" s="152"/>
      <c r="I149" s="151"/>
      <c r="J149" s="151"/>
      <c r="K149" s="151"/>
      <c r="L149" s="152"/>
      <c r="M149" s="153"/>
      <c r="N149" s="151"/>
      <c r="O149" s="398"/>
    </row>
    <row r="150" spans="1:15" x14ac:dyDescent="0.25">
      <c r="A150" s="150"/>
      <c r="B150" s="356"/>
      <c r="C150" s="151"/>
      <c r="D150" s="478"/>
      <c r="E150" s="151"/>
      <c r="F150" s="151"/>
      <c r="G150" s="343"/>
      <c r="H150" s="152"/>
      <c r="I150" s="151"/>
      <c r="J150" s="151"/>
      <c r="K150" s="151"/>
      <c r="L150" s="152"/>
      <c r="M150" s="153"/>
      <c r="N150" s="151"/>
      <c r="O150" s="398"/>
    </row>
    <row r="151" spans="1:15" ht="19.5" x14ac:dyDescent="0.3">
      <c r="A151" s="766" t="s">
        <v>235</v>
      </c>
      <c r="B151" s="767"/>
      <c r="C151" s="767"/>
      <c r="D151" s="767"/>
      <c r="E151" s="767"/>
      <c r="F151" s="767"/>
      <c r="G151" s="767"/>
      <c r="H151" s="767"/>
      <c r="I151" s="767"/>
      <c r="J151" s="767"/>
      <c r="K151" s="767"/>
      <c r="L151" s="768"/>
      <c r="M151" s="162">
        <f>SUM(M134:M150)</f>
        <v>94570</v>
      </c>
      <c r="N151" s="452"/>
      <c r="O151" s="451"/>
    </row>
    <row r="152" spans="1:15" ht="16.5" x14ac:dyDescent="0.25">
      <c r="A152" s="760" t="s">
        <v>400</v>
      </c>
      <c r="B152" s="761"/>
      <c r="C152" s="761"/>
      <c r="D152" s="761"/>
      <c r="E152" s="761"/>
      <c r="F152" s="761"/>
      <c r="G152" s="761"/>
      <c r="H152" s="761"/>
      <c r="I152" s="761"/>
      <c r="J152" s="761"/>
      <c r="K152" s="761"/>
      <c r="L152" s="762"/>
      <c r="M152" s="168"/>
      <c r="N152" s="453"/>
      <c r="O152" s="398"/>
    </row>
    <row r="153" spans="1:15" ht="15.75" x14ac:dyDescent="0.25">
      <c r="A153" s="28" t="s">
        <v>18</v>
      </c>
      <c r="B153" s="31" t="s">
        <v>669</v>
      </c>
      <c r="C153" s="87" t="s">
        <v>676</v>
      </c>
      <c r="D153" s="475" t="s">
        <v>67</v>
      </c>
      <c r="E153" s="9" t="s">
        <v>54</v>
      </c>
      <c r="F153" s="9" t="s">
        <v>10</v>
      </c>
      <c r="G153" s="342"/>
      <c r="H153" s="346">
        <v>459680</v>
      </c>
      <c r="I153" s="142"/>
      <c r="J153" s="33"/>
      <c r="K153" s="133"/>
      <c r="L153" s="201">
        <v>456040</v>
      </c>
      <c r="M153" s="14">
        <v>3640</v>
      </c>
      <c r="N153" s="13" t="s">
        <v>677</v>
      </c>
      <c r="O153" s="443">
        <v>459680</v>
      </c>
    </row>
    <row r="154" spans="1:15" ht="20.25" x14ac:dyDescent="0.3">
      <c r="A154" s="28" t="s">
        <v>427</v>
      </c>
      <c r="B154" s="31" t="s">
        <v>715</v>
      </c>
      <c r="C154" s="87" t="s">
        <v>716</v>
      </c>
      <c r="D154" s="477" t="s">
        <v>67</v>
      </c>
      <c r="E154" s="9" t="s">
        <v>54</v>
      </c>
      <c r="F154" s="295" t="s">
        <v>10</v>
      </c>
      <c r="G154" s="313"/>
      <c r="H154" s="311">
        <f>121440+50900</f>
        <v>172340</v>
      </c>
      <c r="I154" s="177"/>
      <c r="J154" s="14"/>
      <c r="K154" s="5"/>
      <c r="L154" s="201">
        <v>170620</v>
      </c>
      <c r="M154" s="14">
        <f>+H154+J154-L154</f>
        <v>1720</v>
      </c>
      <c r="N154" s="456" t="s">
        <v>40</v>
      </c>
      <c r="O154" s="443">
        <f>+H154+I154-K154</f>
        <v>172340</v>
      </c>
    </row>
    <row r="155" spans="1:15" ht="20.25" x14ac:dyDescent="0.3">
      <c r="A155" s="28" t="s">
        <v>425</v>
      </c>
      <c r="B155" s="31" t="s">
        <v>706</v>
      </c>
      <c r="C155" s="87" t="s">
        <v>709</v>
      </c>
      <c r="D155" s="477" t="s">
        <v>74</v>
      </c>
      <c r="E155" s="9" t="s">
        <v>54</v>
      </c>
      <c r="F155" s="295" t="s">
        <v>10</v>
      </c>
      <c r="G155" s="313"/>
      <c r="H155" s="311">
        <f>107060+29390</f>
        <v>136450</v>
      </c>
      <c r="I155" s="177"/>
      <c r="J155" s="14"/>
      <c r="K155" s="5"/>
      <c r="L155" s="201">
        <v>135500</v>
      </c>
      <c r="M155" s="14">
        <f>+H155+J155-L155</f>
        <v>950</v>
      </c>
      <c r="N155" s="456" t="s">
        <v>710</v>
      </c>
      <c r="O155" s="443">
        <f>+H155+I155-K155</f>
        <v>136450</v>
      </c>
    </row>
    <row r="156" spans="1:15" ht="20.25" x14ac:dyDescent="0.3">
      <c r="A156" s="28" t="s">
        <v>22</v>
      </c>
      <c r="B156" s="31" t="s">
        <v>703</v>
      </c>
      <c r="C156" s="87" t="s">
        <v>705</v>
      </c>
      <c r="D156" s="477" t="s">
        <v>74</v>
      </c>
      <c r="E156" s="9" t="s">
        <v>54</v>
      </c>
      <c r="F156" s="295" t="s">
        <v>10</v>
      </c>
      <c r="G156" s="313"/>
      <c r="H156" s="311">
        <f>160950+106000</f>
        <v>266950</v>
      </c>
      <c r="I156" s="25"/>
      <c r="J156" s="14"/>
      <c r="K156" s="5"/>
      <c r="L156" s="201">
        <f>'[3]594A'!H10</f>
        <v>265490</v>
      </c>
      <c r="M156" s="14">
        <f>+H156+J156-L156</f>
        <v>1460</v>
      </c>
      <c r="N156" s="315" t="s">
        <v>40</v>
      </c>
      <c r="O156" s="65">
        <f>+H156+I156-K156</f>
        <v>266950</v>
      </c>
    </row>
    <row r="157" spans="1:15" ht="15.75" x14ac:dyDescent="0.25">
      <c r="A157" s="164" t="s">
        <v>423</v>
      </c>
      <c r="B157" s="354" t="s">
        <v>696</v>
      </c>
      <c r="C157" s="172" t="s">
        <v>697</v>
      </c>
      <c r="D157" s="479" t="s">
        <v>67</v>
      </c>
      <c r="E157" s="148" t="s">
        <v>54</v>
      </c>
      <c r="F157" s="148" t="s">
        <v>10</v>
      </c>
      <c r="G157" s="345"/>
      <c r="H157" s="347">
        <v>185690</v>
      </c>
      <c r="I157" s="397"/>
      <c r="J157" s="148"/>
      <c r="K157" s="148"/>
      <c r="L157" s="255">
        <v>183750</v>
      </c>
      <c r="M157" s="169">
        <v>1940</v>
      </c>
      <c r="N157" s="468" t="s">
        <v>630</v>
      </c>
      <c r="O157" s="174">
        <v>185690</v>
      </c>
    </row>
    <row r="158" spans="1:15" ht="15.75" x14ac:dyDescent="0.25">
      <c r="A158" s="54" t="s">
        <v>36</v>
      </c>
      <c r="B158" s="355" t="s">
        <v>663</v>
      </c>
      <c r="C158" s="172" t="s">
        <v>664</v>
      </c>
      <c r="D158" s="482" t="s">
        <v>67</v>
      </c>
      <c r="E158" s="57" t="s">
        <v>54</v>
      </c>
      <c r="F158" s="57" t="s">
        <v>10</v>
      </c>
      <c r="G158" s="342"/>
      <c r="H158" s="347">
        <v>423270</v>
      </c>
      <c r="I158" s="173"/>
      <c r="J158" s="33"/>
      <c r="K158" s="33"/>
      <c r="L158" s="53">
        <v>413950</v>
      </c>
      <c r="M158" s="33">
        <v>9320</v>
      </c>
      <c r="N158" s="431" t="s">
        <v>665</v>
      </c>
      <c r="O158" s="450">
        <v>423270</v>
      </c>
    </row>
    <row r="159" spans="1:15" ht="20.25" x14ac:dyDescent="0.3">
      <c r="A159" s="28" t="s">
        <v>426</v>
      </c>
      <c r="B159" s="179" t="s">
        <v>711</v>
      </c>
      <c r="C159" s="87" t="s">
        <v>712</v>
      </c>
      <c r="D159" s="305" t="s">
        <v>183</v>
      </c>
      <c r="E159" s="9" t="s">
        <v>54</v>
      </c>
      <c r="F159" s="295" t="s">
        <v>10</v>
      </c>
      <c r="G159" s="313"/>
      <c r="H159" s="311">
        <f>203900+25840</f>
        <v>229740</v>
      </c>
      <c r="I159" s="25"/>
      <c r="J159" s="14"/>
      <c r="K159" s="5"/>
      <c r="L159" s="201">
        <f>'[4]999C'!H14</f>
        <v>227300</v>
      </c>
      <c r="M159" s="14">
        <f>+H159+J159-L159</f>
        <v>2440</v>
      </c>
      <c r="N159" s="315" t="s">
        <v>332</v>
      </c>
      <c r="O159" s="65">
        <f>+H159+I159-K159</f>
        <v>229740</v>
      </c>
    </row>
    <row r="160" spans="1:15" s="12" customFormat="1" ht="20.25" x14ac:dyDescent="0.3">
      <c r="A160" s="28" t="s">
        <v>17</v>
      </c>
      <c r="B160" s="31" t="s">
        <v>663</v>
      </c>
      <c r="C160" s="87" t="s">
        <v>666</v>
      </c>
      <c r="D160" s="305" t="s">
        <v>67</v>
      </c>
      <c r="E160" s="9" t="s">
        <v>54</v>
      </c>
      <c r="F160" s="295" t="s">
        <v>10</v>
      </c>
      <c r="G160" s="313"/>
      <c r="H160" s="311">
        <f>347940+134380</f>
        <v>482320</v>
      </c>
      <c r="I160" s="25"/>
      <c r="J160" s="14"/>
      <c r="K160" s="5"/>
      <c r="L160" s="201">
        <f>'[4]1854'!$H$14</f>
        <v>476910</v>
      </c>
      <c r="M160" s="14">
        <f>+H160+J160-L160</f>
        <v>5410</v>
      </c>
      <c r="N160" s="315" t="s">
        <v>647</v>
      </c>
      <c r="O160" s="65">
        <f>+H160+I160-K160</f>
        <v>482320</v>
      </c>
    </row>
    <row r="161" spans="1:15" ht="18.75" x14ac:dyDescent="0.3">
      <c r="A161" s="28" t="s">
        <v>194</v>
      </c>
      <c r="B161" s="31" t="s">
        <v>827</v>
      </c>
      <c r="C161" s="87" t="s">
        <v>831</v>
      </c>
      <c r="D161" s="305" t="s">
        <v>74</v>
      </c>
      <c r="E161" s="9" t="s">
        <v>54</v>
      </c>
      <c r="F161" s="295" t="s">
        <v>10</v>
      </c>
      <c r="G161" s="360">
        <v>272420</v>
      </c>
      <c r="H161" s="311">
        <f>111060+136700+25850</f>
        <v>273610</v>
      </c>
      <c r="I161" s="25"/>
      <c r="J161" s="14"/>
      <c r="K161" s="5"/>
      <c r="L161" s="201">
        <f>'[4]71640'!H14</f>
        <v>271130</v>
      </c>
      <c r="M161" s="362">
        <f>+H161+J161-L161</f>
        <v>2480</v>
      </c>
      <c r="N161" s="315" t="s">
        <v>40</v>
      </c>
      <c r="O161" s="65">
        <f>+H161+I161-K161</f>
        <v>273610</v>
      </c>
    </row>
    <row r="162" spans="1:15" s="12" customFormat="1" ht="20.25" x14ac:dyDescent="0.3">
      <c r="A162" s="28" t="s">
        <v>21</v>
      </c>
      <c r="B162" s="31" t="s">
        <v>687</v>
      </c>
      <c r="C162" s="87" t="s">
        <v>688</v>
      </c>
      <c r="D162" s="305" t="s">
        <v>67</v>
      </c>
      <c r="E162" s="9" t="s">
        <v>54</v>
      </c>
      <c r="F162" s="295" t="s">
        <v>10</v>
      </c>
      <c r="G162" s="313"/>
      <c r="H162" s="311">
        <f>55480+194770+109350</f>
        <v>359600</v>
      </c>
      <c r="I162" s="25"/>
      <c r="J162" s="14"/>
      <c r="K162" s="5"/>
      <c r="L162" s="201">
        <f>'[4]1383'!H14</f>
        <v>352060</v>
      </c>
      <c r="M162" s="14">
        <f>+H162+J162-L162</f>
        <v>7540</v>
      </c>
      <c r="N162" s="315" t="s">
        <v>689</v>
      </c>
      <c r="O162" s="65">
        <f>+H162+I162-K162</f>
        <v>359600</v>
      </c>
    </row>
    <row r="163" spans="1:15" ht="15.75" x14ac:dyDescent="0.25">
      <c r="A163" s="150" t="s">
        <v>196</v>
      </c>
      <c r="B163" s="356" t="s">
        <v>913</v>
      </c>
      <c r="C163" s="151" t="s">
        <v>914</v>
      </c>
      <c r="D163" s="478" t="s">
        <v>74</v>
      </c>
      <c r="E163" s="151" t="s">
        <v>54</v>
      </c>
      <c r="F163" s="151" t="s">
        <v>10</v>
      </c>
      <c r="G163" s="343">
        <v>155160</v>
      </c>
      <c r="H163" s="347">
        <v>151610</v>
      </c>
      <c r="I163" s="151"/>
      <c r="J163" s="151"/>
      <c r="K163" s="151"/>
      <c r="L163" s="53">
        <v>150620</v>
      </c>
      <c r="M163" s="153">
        <v>990</v>
      </c>
      <c r="N163" s="431" t="s">
        <v>58</v>
      </c>
      <c r="O163" s="398"/>
    </row>
    <row r="164" spans="1:15" s="12" customFormat="1" ht="20.25" x14ac:dyDescent="0.3">
      <c r="A164" s="28" t="s">
        <v>20</v>
      </c>
      <c r="B164" s="31" t="s">
        <v>682</v>
      </c>
      <c r="C164" s="87" t="s">
        <v>683</v>
      </c>
      <c r="D164" s="305" t="s">
        <v>67</v>
      </c>
      <c r="E164" s="9" t="s">
        <v>54</v>
      </c>
      <c r="F164" s="295" t="s">
        <v>10</v>
      </c>
      <c r="G164" s="313"/>
      <c r="H164" s="311">
        <f>49370+176760+222860+49830</f>
        <v>498820</v>
      </c>
      <c r="I164" s="25"/>
      <c r="J164" s="14"/>
      <c r="K164" s="5"/>
      <c r="L164" s="201">
        <f>'[5]4604'!H14</f>
        <v>491550</v>
      </c>
      <c r="M164" s="14">
        <f t="shared" ref="M164:M169" si="9">+H164+J164-L164</f>
        <v>7270</v>
      </c>
      <c r="N164" s="315" t="s">
        <v>681</v>
      </c>
      <c r="O164" s="65">
        <f t="shared" ref="O164:O169" si="10">+H164+I164-K164</f>
        <v>498820</v>
      </c>
    </row>
    <row r="165" spans="1:15" s="510" customFormat="1" ht="18.75" x14ac:dyDescent="0.3">
      <c r="A165" s="28" t="s">
        <v>196</v>
      </c>
      <c r="B165" s="31" t="s">
        <v>1027</v>
      </c>
      <c r="C165" s="87" t="s">
        <v>1013</v>
      </c>
      <c r="D165" s="320" t="s">
        <v>74</v>
      </c>
      <c r="E165" s="9" t="s">
        <v>54</v>
      </c>
      <c r="F165" s="295" t="s">
        <v>10</v>
      </c>
      <c r="G165" s="326">
        <v>442560</v>
      </c>
      <c r="H165" s="32">
        <f>98570+197560+128000+18420</f>
        <v>442550</v>
      </c>
      <c r="I165" s="505"/>
      <c r="J165" s="506"/>
      <c r="K165" s="507"/>
      <c r="L165" s="201">
        <f>[6]ROSEA4!H14</f>
        <v>442470</v>
      </c>
      <c r="M165" s="362">
        <f t="shared" si="9"/>
        <v>80</v>
      </c>
      <c r="N165" s="274" t="s">
        <v>1014</v>
      </c>
      <c r="O165" s="509">
        <f t="shared" si="10"/>
        <v>442550</v>
      </c>
    </row>
    <row r="166" spans="1:15" s="510" customFormat="1" ht="18.75" x14ac:dyDescent="0.3">
      <c r="A166" s="28" t="s">
        <v>197</v>
      </c>
      <c r="B166" s="31" t="s">
        <v>1028</v>
      </c>
      <c r="C166" s="87" t="s">
        <v>1030</v>
      </c>
      <c r="D166" s="320" t="s">
        <v>134</v>
      </c>
      <c r="E166" s="9" t="s">
        <v>54</v>
      </c>
      <c r="F166" s="295" t="s">
        <v>10</v>
      </c>
      <c r="G166" s="326">
        <v>597670</v>
      </c>
      <c r="H166" s="32">
        <f>46510+162540+158420+94200+63350+31580+33280+7780</f>
        <v>597660</v>
      </c>
      <c r="I166" s="505"/>
      <c r="J166" s="506"/>
      <c r="K166" s="507"/>
      <c r="L166" s="201">
        <f>[6]ROSEC2!H14</f>
        <v>597570</v>
      </c>
      <c r="M166" s="362">
        <f t="shared" si="9"/>
        <v>90</v>
      </c>
      <c r="N166" s="274" t="s">
        <v>1014</v>
      </c>
      <c r="O166" s="65">
        <f t="shared" si="10"/>
        <v>597660</v>
      </c>
    </row>
    <row r="167" spans="1:15" s="510" customFormat="1" ht="18.75" x14ac:dyDescent="0.3">
      <c r="A167" s="28" t="s">
        <v>201</v>
      </c>
      <c r="B167" s="31" t="s">
        <v>1073</v>
      </c>
      <c r="C167" s="87" t="s">
        <v>1074</v>
      </c>
      <c r="D167" s="320" t="s">
        <v>134</v>
      </c>
      <c r="E167" s="9" t="s">
        <v>54</v>
      </c>
      <c r="F167" s="295" t="s">
        <v>10</v>
      </c>
      <c r="G167" s="326">
        <v>264120</v>
      </c>
      <c r="H167" s="32">
        <f>159700+53120+53550</f>
        <v>266370</v>
      </c>
      <c r="I167" s="505"/>
      <c r="J167" s="506"/>
      <c r="K167" s="507"/>
      <c r="L167" s="201">
        <f>'[8]5819'!H11</f>
        <v>265330</v>
      </c>
      <c r="M167" s="362">
        <f t="shared" si="9"/>
        <v>1040</v>
      </c>
      <c r="N167" s="274" t="s">
        <v>40</v>
      </c>
      <c r="O167" s="65">
        <f t="shared" si="10"/>
        <v>266370</v>
      </c>
    </row>
    <row r="168" spans="1:15" s="12" customFormat="1" ht="20.25" x14ac:dyDescent="0.3">
      <c r="A168" s="28" t="s">
        <v>35</v>
      </c>
      <c r="B168" s="31" t="s">
        <v>657</v>
      </c>
      <c r="C168" s="87" t="s">
        <v>659</v>
      </c>
      <c r="D168" s="305" t="s">
        <v>67</v>
      </c>
      <c r="E168" s="9" t="s">
        <v>54</v>
      </c>
      <c r="F168" s="295" t="s">
        <v>10</v>
      </c>
      <c r="G168" s="313"/>
      <c r="H168" s="311">
        <f>83240+84920</f>
        <v>168160</v>
      </c>
      <c r="I168" s="25"/>
      <c r="J168" s="14"/>
      <c r="K168" s="5"/>
      <c r="L168" s="201">
        <f>'[8]528I'!H14</f>
        <v>164500</v>
      </c>
      <c r="M168" s="14">
        <f t="shared" si="9"/>
        <v>3660</v>
      </c>
      <c r="N168" s="315" t="s">
        <v>58</v>
      </c>
      <c r="O168" s="65">
        <f t="shared" si="10"/>
        <v>168160</v>
      </c>
    </row>
    <row r="169" spans="1:15" s="510" customFormat="1" ht="18.75" x14ac:dyDescent="0.3">
      <c r="A169" s="28" t="s">
        <v>194</v>
      </c>
      <c r="B169" s="500" t="s">
        <v>638</v>
      </c>
      <c r="C169" s="87" t="s">
        <v>639</v>
      </c>
      <c r="D169" s="502" t="s">
        <v>67</v>
      </c>
      <c r="E169" s="503" t="s">
        <v>54</v>
      </c>
      <c r="F169" s="516" t="s">
        <v>10</v>
      </c>
      <c r="G169" s="504"/>
      <c r="H169" s="537">
        <f>130200+25790</f>
        <v>155990</v>
      </c>
      <c r="I169" s="505"/>
      <c r="J169" s="506"/>
      <c r="K169" s="507"/>
      <c r="L169" s="270">
        <f>'[8]4652'!H9</f>
        <v>154460</v>
      </c>
      <c r="M169" s="600">
        <f t="shared" si="9"/>
        <v>1530</v>
      </c>
      <c r="N169" s="508" t="s">
        <v>58</v>
      </c>
      <c r="O169" s="509">
        <f t="shared" si="10"/>
        <v>155990</v>
      </c>
    </row>
    <row r="170" spans="1:15" s="510" customFormat="1" ht="18.75" x14ac:dyDescent="0.3">
      <c r="A170" s="28" t="s">
        <v>198</v>
      </c>
      <c r="B170" s="31" t="s">
        <v>1059</v>
      </c>
      <c r="C170" s="87" t="s">
        <v>1060</v>
      </c>
      <c r="D170" s="320" t="s">
        <v>74</v>
      </c>
      <c r="E170" s="9" t="s">
        <v>54</v>
      </c>
      <c r="F170" s="295" t="s">
        <v>10</v>
      </c>
      <c r="G170" s="326">
        <v>218310</v>
      </c>
      <c r="H170" s="32">
        <f>137850+81770</f>
        <v>219620</v>
      </c>
      <c r="I170" s="505"/>
      <c r="J170" s="506"/>
      <c r="K170" s="507"/>
      <c r="L170" s="201">
        <f>'[8]2060'!H14</f>
        <v>218300</v>
      </c>
      <c r="M170" s="362">
        <f>+H170+J170-L170</f>
        <v>1320</v>
      </c>
      <c r="N170" s="274" t="s">
        <v>315</v>
      </c>
      <c r="O170" s="65">
        <f>+H170+I170-K170</f>
        <v>219620</v>
      </c>
    </row>
    <row r="171" spans="1:15" s="510" customFormat="1" ht="18.75" x14ac:dyDescent="0.3">
      <c r="A171" s="28"/>
      <c r="B171" s="31"/>
      <c r="C171" s="87"/>
      <c r="D171" s="320"/>
      <c r="E171" s="9"/>
      <c r="F171" s="295"/>
      <c r="G171" s="326"/>
      <c r="H171" s="58"/>
      <c r="I171" s="625"/>
      <c r="J171" s="506"/>
      <c r="K171" s="507"/>
      <c r="L171" s="133"/>
      <c r="M171" s="362"/>
      <c r="N171" s="469"/>
      <c r="O171" s="443"/>
    </row>
    <row r="172" spans="1:15" ht="15.75" x14ac:dyDescent="0.25">
      <c r="A172" s="150"/>
      <c r="B172" s="356"/>
      <c r="C172" s="151"/>
      <c r="D172" s="478"/>
      <c r="E172" s="151"/>
      <c r="F172" s="151"/>
      <c r="G172" s="343"/>
      <c r="H172" s="332"/>
      <c r="I172" s="151"/>
      <c r="J172" s="151"/>
      <c r="K172" s="151"/>
      <c r="L172" s="33"/>
      <c r="M172" s="153"/>
      <c r="N172" s="431"/>
      <c r="O172" s="398"/>
    </row>
    <row r="173" spans="1:15" ht="15.75" x14ac:dyDescent="0.25">
      <c r="A173" s="150"/>
      <c r="B173" s="356"/>
      <c r="C173" s="151"/>
      <c r="D173" s="478"/>
      <c r="E173" s="151"/>
      <c r="F173" s="151"/>
      <c r="G173" s="343"/>
      <c r="H173" s="332"/>
      <c r="I173" s="151"/>
      <c r="J173" s="151"/>
      <c r="K173" s="151"/>
      <c r="L173" s="33"/>
      <c r="M173" s="153"/>
      <c r="N173" s="431"/>
      <c r="O173" s="398"/>
    </row>
    <row r="174" spans="1:15" ht="19.5" x14ac:dyDescent="0.3">
      <c r="A174" s="766" t="s">
        <v>541</v>
      </c>
      <c r="B174" s="767"/>
      <c r="C174" s="767"/>
      <c r="D174" s="767"/>
      <c r="E174" s="767"/>
      <c r="F174" s="767"/>
      <c r="G174" s="767"/>
      <c r="H174" s="767"/>
      <c r="I174" s="767"/>
      <c r="J174" s="767"/>
      <c r="K174" s="767"/>
      <c r="L174" s="768"/>
      <c r="M174" s="162">
        <f>SUM(M152:M173)</f>
        <v>52880</v>
      </c>
      <c r="N174" s="452"/>
      <c r="O174" s="451"/>
    </row>
    <row r="175" spans="1:15" ht="16.5" x14ac:dyDescent="0.25">
      <c r="A175" s="760" t="s">
        <v>400</v>
      </c>
      <c r="B175" s="761"/>
      <c r="C175" s="761"/>
      <c r="D175" s="761"/>
      <c r="E175" s="761"/>
      <c r="F175" s="761"/>
      <c r="G175" s="761"/>
      <c r="H175" s="761"/>
      <c r="I175" s="761"/>
      <c r="J175" s="761"/>
      <c r="K175" s="761"/>
      <c r="L175" s="762"/>
      <c r="M175" s="168"/>
      <c r="N175" s="453"/>
      <c r="O175" s="398"/>
    </row>
    <row r="176" spans="1:15" ht="15.75" x14ac:dyDescent="0.25">
      <c r="A176" s="28" t="s">
        <v>410</v>
      </c>
      <c r="B176" s="31" t="s">
        <v>700</v>
      </c>
      <c r="C176" s="87" t="s">
        <v>701</v>
      </c>
      <c r="D176" s="477" t="s">
        <v>183</v>
      </c>
      <c r="E176" s="9" t="s">
        <v>54</v>
      </c>
      <c r="F176" s="9" t="s">
        <v>10</v>
      </c>
      <c r="G176" s="326"/>
      <c r="H176" s="32">
        <f>76420+24720</f>
        <v>101140</v>
      </c>
      <c r="I176" s="177"/>
      <c r="J176" s="14"/>
      <c r="K176" s="5"/>
      <c r="L176" s="201">
        <v>100360</v>
      </c>
      <c r="M176" s="14">
        <f>+H176+J176-L176</f>
        <v>780</v>
      </c>
      <c r="N176" s="431" t="s">
        <v>329</v>
      </c>
      <c r="O176" s="443"/>
    </row>
    <row r="177" spans="1:15" ht="15.75" x14ac:dyDescent="0.25">
      <c r="A177" s="28" t="s">
        <v>31</v>
      </c>
      <c r="B177" s="31" t="s">
        <v>585</v>
      </c>
      <c r="C177" s="87" t="s">
        <v>586</v>
      </c>
      <c r="D177" s="475" t="s">
        <v>134</v>
      </c>
      <c r="E177" s="9" t="s">
        <v>54</v>
      </c>
      <c r="F177" s="9" t="s">
        <v>10</v>
      </c>
      <c r="G177" s="342"/>
      <c r="H177" s="346">
        <v>54380</v>
      </c>
      <c r="I177" s="142"/>
      <c r="J177" s="33"/>
      <c r="K177" s="133"/>
      <c r="L177" s="201">
        <v>53970</v>
      </c>
      <c r="M177" s="14">
        <v>410</v>
      </c>
      <c r="N177" s="13" t="s">
        <v>344</v>
      </c>
      <c r="O177" s="443">
        <v>54380</v>
      </c>
    </row>
    <row r="178" spans="1:15" ht="15.75" x14ac:dyDescent="0.25">
      <c r="A178" s="28" t="s">
        <v>236</v>
      </c>
      <c r="B178" s="31" t="s">
        <v>614</v>
      </c>
      <c r="C178" s="87" t="s">
        <v>619</v>
      </c>
      <c r="D178" s="489" t="s">
        <v>74</v>
      </c>
      <c r="E178" s="9" t="s">
        <v>54</v>
      </c>
      <c r="F178" s="9" t="s">
        <v>10</v>
      </c>
      <c r="G178" s="326"/>
      <c r="H178" s="32">
        <f>27580+161730+54180</f>
        <v>243490</v>
      </c>
      <c r="I178" s="177"/>
      <c r="J178" s="14"/>
      <c r="K178" s="5"/>
      <c r="L178" s="201">
        <v>241910</v>
      </c>
      <c r="M178" s="14">
        <f>+H178+J178-L178</f>
        <v>1580</v>
      </c>
      <c r="N178" s="431" t="s">
        <v>332</v>
      </c>
      <c r="O178" s="443">
        <f>+H178+I178-K178</f>
        <v>243490</v>
      </c>
    </row>
    <row r="179" spans="1:15" ht="15.75" x14ac:dyDescent="0.25">
      <c r="A179" s="164" t="s">
        <v>26</v>
      </c>
      <c r="B179" s="354" t="s">
        <v>573</v>
      </c>
      <c r="C179" s="172" t="s">
        <v>574</v>
      </c>
      <c r="D179" s="479" t="s">
        <v>74</v>
      </c>
      <c r="E179" s="148" t="s">
        <v>54</v>
      </c>
      <c r="F179" s="148" t="s">
        <v>10</v>
      </c>
      <c r="G179" s="345"/>
      <c r="H179" s="347">
        <v>110760</v>
      </c>
      <c r="I179" s="397"/>
      <c r="J179" s="148"/>
      <c r="K179" s="148"/>
      <c r="L179" s="255">
        <v>109970</v>
      </c>
      <c r="M179" s="169">
        <v>790</v>
      </c>
      <c r="N179" s="148" t="s">
        <v>329</v>
      </c>
      <c r="O179" s="174">
        <v>110760</v>
      </c>
    </row>
    <row r="180" spans="1:15" ht="15.75" x14ac:dyDescent="0.25">
      <c r="A180" s="54" t="s">
        <v>34</v>
      </c>
      <c r="B180" s="355" t="s">
        <v>543</v>
      </c>
      <c r="C180" s="172" t="s">
        <v>548</v>
      </c>
      <c r="D180" s="482" t="s">
        <v>183</v>
      </c>
      <c r="E180" s="57" t="s">
        <v>54</v>
      </c>
      <c r="F180" s="57" t="s">
        <v>10</v>
      </c>
      <c r="G180" s="342"/>
      <c r="H180" s="347">
        <v>254700</v>
      </c>
      <c r="I180" s="173"/>
      <c r="J180" s="33"/>
      <c r="K180" s="33"/>
      <c r="L180" s="53">
        <v>252700</v>
      </c>
      <c r="M180" s="33">
        <v>2000</v>
      </c>
      <c r="N180" s="454" t="s">
        <v>40</v>
      </c>
      <c r="O180" s="450">
        <v>254700</v>
      </c>
    </row>
    <row r="181" spans="1:15" ht="15.75" x14ac:dyDescent="0.25">
      <c r="A181" s="28" t="s">
        <v>407</v>
      </c>
      <c r="B181" s="31" t="s">
        <v>691</v>
      </c>
      <c r="C181" s="87" t="s">
        <v>692</v>
      </c>
      <c r="D181" s="489" t="s">
        <v>67</v>
      </c>
      <c r="E181" s="9" t="s">
        <v>54</v>
      </c>
      <c r="F181" s="9" t="s">
        <v>10</v>
      </c>
      <c r="G181" s="326"/>
      <c r="H181" s="32">
        <f>80490+183360+26980</f>
        <v>290830</v>
      </c>
      <c r="I181" s="177"/>
      <c r="J181" s="14"/>
      <c r="K181" s="5"/>
      <c r="L181" s="201">
        <f>'[3]511A'!H14</f>
        <v>288510</v>
      </c>
      <c r="M181" s="14">
        <f>+H181+J181-L181</f>
        <v>2320</v>
      </c>
      <c r="N181" s="431" t="s">
        <v>16</v>
      </c>
      <c r="O181" s="443">
        <f>+H181+I181-K181</f>
        <v>290830</v>
      </c>
    </row>
    <row r="182" spans="1:15" ht="15.75" x14ac:dyDescent="0.25">
      <c r="A182" s="28" t="s">
        <v>409</v>
      </c>
      <c r="B182" s="31" t="s">
        <v>696</v>
      </c>
      <c r="C182" s="87" t="s">
        <v>698</v>
      </c>
      <c r="D182" s="489" t="s">
        <v>67</v>
      </c>
      <c r="E182" s="9" t="s">
        <v>54</v>
      </c>
      <c r="F182" s="9" t="s">
        <v>10</v>
      </c>
      <c r="G182" s="326"/>
      <c r="H182" s="32">
        <f>214710+52770</f>
        <v>267480</v>
      </c>
      <c r="I182" s="177"/>
      <c r="J182" s="14"/>
      <c r="K182" s="5"/>
      <c r="L182" s="201">
        <f>'[3]511B'!H14</f>
        <v>265330</v>
      </c>
      <c r="M182" s="14">
        <f>+H182+J182-L182</f>
        <v>2150</v>
      </c>
      <c r="N182" s="431" t="s">
        <v>40</v>
      </c>
      <c r="O182" s="443">
        <f>+H182+I182-K182</f>
        <v>267480</v>
      </c>
    </row>
    <row r="183" spans="1:15" ht="15.75" x14ac:dyDescent="0.25">
      <c r="A183" s="150" t="s">
        <v>427</v>
      </c>
      <c r="B183" s="356" t="s">
        <v>560</v>
      </c>
      <c r="C183" s="172" t="s">
        <v>567</v>
      </c>
      <c r="D183" s="478" t="s">
        <v>74</v>
      </c>
      <c r="E183" s="151" t="s">
        <v>54</v>
      </c>
      <c r="F183" s="151" t="s">
        <v>10</v>
      </c>
      <c r="G183" s="343"/>
      <c r="H183" s="254">
        <v>275910</v>
      </c>
      <c r="I183" s="151"/>
      <c r="J183" s="151"/>
      <c r="K183" s="151"/>
      <c r="L183" s="255">
        <v>273650</v>
      </c>
      <c r="M183" s="153">
        <v>2260</v>
      </c>
      <c r="N183" s="468" t="s">
        <v>40</v>
      </c>
      <c r="O183" s="398">
        <v>275910</v>
      </c>
    </row>
    <row r="184" spans="1:15" ht="15.75" x14ac:dyDescent="0.25">
      <c r="A184" s="28" t="s">
        <v>23</v>
      </c>
      <c r="B184" s="31" t="s">
        <v>560</v>
      </c>
      <c r="C184" s="87" t="s">
        <v>568</v>
      </c>
      <c r="D184" s="489" t="s">
        <v>74</v>
      </c>
      <c r="E184" s="9" t="s">
        <v>54</v>
      </c>
      <c r="F184" s="9" t="s">
        <v>10</v>
      </c>
      <c r="G184" s="326"/>
      <c r="H184" s="32">
        <f>82220+196060</f>
        <v>278280</v>
      </c>
      <c r="I184" s="25"/>
      <c r="J184" s="14"/>
      <c r="K184" s="5"/>
      <c r="L184" s="201">
        <f>'[3]6205'!H9</f>
        <v>275940</v>
      </c>
      <c r="M184" s="14">
        <f>+H184+J184-L184</f>
        <v>2340</v>
      </c>
      <c r="N184" s="274" t="s">
        <v>40</v>
      </c>
      <c r="O184" s="65">
        <f>+H184+I184-K184</f>
        <v>278280</v>
      </c>
    </row>
    <row r="185" spans="1:15" ht="19.5" x14ac:dyDescent="0.3">
      <c r="A185" s="28" t="s">
        <v>661</v>
      </c>
      <c r="B185" s="31" t="s">
        <v>841</v>
      </c>
      <c r="C185" s="87" t="s">
        <v>842</v>
      </c>
      <c r="D185" s="489" t="s">
        <v>67</v>
      </c>
      <c r="E185" s="9" t="s">
        <v>54</v>
      </c>
      <c r="F185" s="9" t="s">
        <v>10</v>
      </c>
      <c r="G185" s="337">
        <v>27710</v>
      </c>
      <c r="H185" s="311">
        <v>27550</v>
      </c>
      <c r="I185" s="25"/>
      <c r="J185" s="14"/>
      <c r="K185" s="5"/>
      <c r="L185" s="201">
        <f>'[3]6341'!H14</f>
        <v>27440</v>
      </c>
      <c r="M185" s="14">
        <f>+H185+J185-L185</f>
        <v>110</v>
      </c>
      <c r="N185" s="274" t="s">
        <v>57</v>
      </c>
      <c r="O185" s="65">
        <f>+H185+I185-K185</f>
        <v>27550</v>
      </c>
    </row>
    <row r="186" spans="1:15" x14ac:dyDescent="0.25">
      <c r="A186" s="150" t="s">
        <v>229</v>
      </c>
      <c r="B186" s="356" t="s">
        <v>614</v>
      </c>
      <c r="C186" s="151" t="s">
        <v>616</v>
      </c>
      <c r="D186" s="490" t="s">
        <v>74</v>
      </c>
      <c r="E186" s="151" t="s">
        <v>54</v>
      </c>
      <c r="F186" s="151" t="s">
        <v>10</v>
      </c>
      <c r="G186" s="343"/>
      <c r="H186" s="254">
        <v>27070</v>
      </c>
      <c r="I186" s="151"/>
      <c r="J186" s="151"/>
      <c r="K186" s="151"/>
      <c r="L186" s="255">
        <v>26850</v>
      </c>
      <c r="M186" s="153">
        <v>220</v>
      </c>
      <c r="N186" s="468" t="s">
        <v>57</v>
      </c>
      <c r="O186" s="398">
        <v>27070</v>
      </c>
    </row>
    <row r="187" spans="1:15" ht="15.75" x14ac:dyDescent="0.25">
      <c r="A187" s="28" t="s">
        <v>323</v>
      </c>
      <c r="B187" s="31" t="s">
        <v>632</v>
      </c>
      <c r="C187" s="87" t="s">
        <v>633</v>
      </c>
      <c r="D187" s="489" t="s">
        <v>183</v>
      </c>
      <c r="E187" s="9" t="s">
        <v>54</v>
      </c>
      <c r="F187" s="9" t="s">
        <v>10</v>
      </c>
      <c r="G187" s="326"/>
      <c r="H187" s="32">
        <f>27050+158670+52910</f>
        <v>238630</v>
      </c>
      <c r="I187" s="25"/>
      <c r="J187" s="14"/>
      <c r="K187" s="5"/>
      <c r="L187" s="201">
        <f>'[3]394G'!H14</f>
        <v>235580</v>
      </c>
      <c r="M187" s="14">
        <f>+H187+J187-L187</f>
        <v>3050</v>
      </c>
      <c r="N187" s="274" t="s">
        <v>332</v>
      </c>
      <c r="O187" s="65">
        <f>+H187+I187-K187</f>
        <v>238630</v>
      </c>
    </row>
    <row r="188" spans="1:15" ht="15.75" x14ac:dyDescent="0.25">
      <c r="A188" s="28" t="s">
        <v>326</v>
      </c>
      <c r="B188" s="31" t="s">
        <v>642</v>
      </c>
      <c r="C188" s="87" t="s">
        <v>648</v>
      </c>
      <c r="D188" s="489" t="s">
        <v>183</v>
      </c>
      <c r="E188" s="9" t="s">
        <v>54</v>
      </c>
      <c r="F188" s="9" t="s">
        <v>10</v>
      </c>
      <c r="G188" s="326"/>
      <c r="H188" s="32">
        <f>51900+75880+151320+275020+151860</f>
        <v>705980</v>
      </c>
      <c r="I188" s="25"/>
      <c r="J188" s="14"/>
      <c r="K188" s="5"/>
      <c r="L188" s="201">
        <f>'[3]605C'!H14</f>
        <v>698090</v>
      </c>
      <c r="M188" s="14">
        <f>+H188+J188-L188</f>
        <v>7890</v>
      </c>
      <c r="N188" s="274" t="s">
        <v>649</v>
      </c>
      <c r="O188" s="65">
        <f>+H188+I188-K188</f>
        <v>705980</v>
      </c>
    </row>
    <row r="189" spans="1:15" ht="15.75" x14ac:dyDescent="0.25">
      <c r="A189" s="28" t="s">
        <v>202</v>
      </c>
      <c r="B189" s="31" t="s">
        <v>605</v>
      </c>
      <c r="C189" s="87" t="s">
        <v>606</v>
      </c>
      <c r="D189" s="489" t="s">
        <v>67</v>
      </c>
      <c r="E189" s="9" t="s">
        <v>54</v>
      </c>
      <c r="F189" s="9" t="s">
        <v>10</v>
      </c>
      <c r="G189" s="326"/>
      <c r="H189" s="32">
        <v>225790</v>
      </c>
      <c r="I189" s="177"/>
      <c r="J189" s="14"/>
      <c r="K189" s="5"/>
      <c r="L189" s="201">
        <v>222040</v>
      </c>
      <c r="M189" s="14">
        <v>3750</v>
      </c>
      <c r="N189" s="469" t="s">
        <v>315</v>
      </c>
      <c r="O189" s="443">
        <v>225790</v>
      </c>
    </row>
    <row r="190" spans="1:15" s="90" customFormat="1" ht="15.75" x14ac:dyDescent="0.25">
      <c r="A190" s="28" t="s">
        <v>227</v>
      </c>
      <c r="B190" s="183" t="s">
        <v>610</v>
      </c>
      <c r="C190" s="106" t="s">
        <v>612</v>
      </c>
      <c r="D190" s="320" t="s">
        <v>67</v>
      </c>
      <c r="E190" s="57" t="s">
        <v>54</v>
      </c>
      <c r="F190" s="57" t="s">
        <v>10</v>
      </c>
      <c r="G190" s="326"/>
      <c r="H190" s="32">
        <f>56790+110000+55470</f>
        <v>222260</v>
      </c>
      <c r="I190" s="143"/>
      <c r="J190" s="33"/>
      <c r="K190" s="133"/>
      <c r="L190" s="201">
        <f>'[4]1230'!H12</f>
        <v>217670</v>
      </c>
      <c r="M190" s="33">
        <f>+H190+J190-L190</f>
        <v>4590</v>
      </c>
      <c r="N190" s="274" t="s">
        <v>315</v>
      </c>
      <c r="O190" s="65">
        <f>+H190+I190-K190</f>
        <v>222260</v>
      </c>
    </row>
    <row r="191" spans="1:15" ht="15.75" x14ac:dyDescent="0.25">
      <c r="A191" s="28" t="s">
        <v>430</v>
      </c>
      <c r="B191" s="31" t="s">
        <v>785</v>
      </c>
      <c r="C191" s="87" t="s">
        <v>786</v>
      </c>
      <c r="D191" s="489" t="s">
        <v>67</v>
      </c>
      <c r="E191" s="9" t="s">
        <v>54</v>
      </c>
      <c r="F191" s="9" t="s">
        <v>10</v>
      </c>
      <c r="G191" s="326">
        <v>275520</v>
      </c>
      <c r="H191" s="32">
        <v>275990</v>
      </c>
      <c r="I191" s="177"/>
      <c r="J191" s="14"/>
      <c r="K191" s="5"/>
      <c r="L191" s="201">
        <v>273130</v>
      </c>
      <c r="M191" s="14">
        <v>2860</v>
      </c>
      <c r="N191" s="469" t="s">
        <v>40</v>
      </c>
      <c r="O191" s="443">
        <v>275990</v>
      </c>
    </row>
    <row r="192" spans="1:15" ht="19.5" x14ac:dyDescent="0.3">
      <c r="A192" s="28" t="s">
        <v>411</v>
      </c>
      <c r="B192" s="31" t="s">
        <v>740</v>
      </c>
      <c r="C192" s="87" t="s">
        <v>741</v>
      </c>
      <c r="D192" s="320" t="s">
        <v>67</v>
      </c>
      <c r="E192" s="9" t="s">
        <v>54</v>
      </c>
      <c r="F192" s="9" t="s">
        <v>10</v>
      </c>
      <c r="G192" s="337"/>
      <c r="H192" s="311">
        <f>133570+188570</f>
        <v>322140</v>
      </c>
      <c r="I192" s="25"/>
      <c r="J192" s="14"/>
      <c r="K192" s="5"/>
      <c r="L192" s="201">
        <f>'[4]4796'!H11</f>
        <v>319400</v>
      </c>
      <c r="M192" s="14">
        <f>+H192+J192-L192</f>
        <v>2740</v>
      </c>
      <c r="N192" s="274" t="s">
        <v>734</v>
      </c>
      <c r="O192" s="65">
        <f>+H192+I192-K192</f>
        <v>322140</v>
      </c>
    </row>
    <row r="193" spans="1:15" ht="15.75" x14ac:dyDescent="0.25">
      <c r="A193" s="28" t="s">
        <v>408</v>
      </c>
      <c r="B193" s="31" t="s">
        <v>687</v>
      </c>
      <c r="C193" s="87" t="s">
        <v>690</v>
      </c>
      <c r="D193" s="320" t="s">
        <v>67</v>
      </c>
      <c r="E193" s="9" t="s">
        <v>54</v>
      </c>
      <c r="F193" s="9" t="s">
        <v>10</v>
      </c>
      <c r="G193" s="326"/>
      <c r="H193" s="32">
        <f>83810+29380</f>
        <v>113190</v>
      </c>
      <c r="I193" s="25"/>
      <c r="J193" s="14"/>
      <c r="K193" s="5"/>
      <c r="L193" s="201">
        <f>'[4]528F'!H14</f>
        <v>109770</v>
      </c>
      <c r="M193" s="14">
        <f>+H193+J193-L193</f>
        <v>3420</v>
      </c>
      <c r="N193" s="274" t="s">
        <v>329</v>
      </c>
      <c r="O193" s="65">
        <f>+H193+I193-K193</f>
        <v>113190</v>
      </c>
    </row>
    <row r="194" spans="1:15" ht="15.75" x14ac:dyDescent="0.25">
      <c r="A194" s="28" t="s">
        <v>349</v>
      </c>
      <c r="B194" s="31" t="s">
        <v>657</v>
      </c>
      <c r="C194" s="87" t="s">
        <v>658</v>
      </c>
      <c r="D194" s="320" t="s">
        <v>67</v>
      </c>
      <c r="E194" s="9" t="s">
        <v>54</v>
      </c>
      <c r="F194" s="9" t="s">
        <v>10</v>
      </c>
      <c r="G194" s="326"/>
      <c r="H194" s="32">
        <f>471240+136340</f>
        <v>607580</v>
      </c>
      <c r="I194" s="25"/>
      <c r="J194" s="14"/>
      <c r="K194" s="5"/>
      <c r="L194" s="201">
        <f>'[4]528C'!H14</f>
        <v>600380</v>
      </c>
      <c r="M194" s="14">
        <f>+H194+J194-L194</f>
        <v>7200</v>
      </c>
      <c r="N194" s="274" t="s">
        <v>517</v>
      </c>
      <c r="O194" s="65">
        <f>+H194+I194-K194</f>
        <v>607580</v>
      </c>
    </row>
    <row r="195" spans="1:15" ht="15.75" x14ac:dyDescent="0.25">
      <c r="A195" s="28" t="s">
        <v>426</v>
      </c>
      <c r="B195" s="31" t="s">
        <v>560</v>
      </c>
      <c r="C195" s="87" t="s">
        <v>566</v>
      </c>
      <c r="D195" s="320" t="s">
        <v>74</v>
      </c>
      <c r="E195" s="9" t="s">
        <v>54</v>
      </c>
      <c r="F195" s="9" t="s">
        <v>10</v>
      </c>
      <c r="G195" s="326"/>
      <c r="H195" s="32">
        <f>79700+162960+28030</f>
        <v>270690</v>
      </c>
      <c r="I195" s="25"/>
      <c r="J195" s="14"/>
      <c r="K195" s="5"/>
      <c r="L195" s="201">
        <f>'[4]3146'!H14</f>
        <v>268530</v>
      </c>
      <c r="M195" s="14">
        <f>+H195+J195-L195</f>
        <v>2160</v>
      </c>
      <c r="N195" s="274" t="s">
        <v>40</v>
      </c>
      <c r="O195" s="65">
        <f>+H195+I195-K195</f>
        <v>270690</v>
      </c>
    </row>
    <row r="196" spans="1:15" ht="15.75" x14ac:dyDescent="0.25">
      <c r="A196" s="28" t="s">
        <v>230</v>
      </c>
      <c r="B196" s="31" t="s">
        <v>614</v>
      </c>
      <c r="C196" s="87" t="s">
        <v>617</v>
      </c>
      <c r="D196" s="320" t="s">
        <v>74</v>
      </c>
      <c r="E196" s="9" t="s">
        <v>54</v>
      </c>
      <c r="F196" s="9" t="s">
        <v>10</v>
      </c>
      <c r="G196" s="326"/>
      <c r="H196" s="32">
        <v>109690</v>
      </c>
      <c r="I196" s="177"/>
      <c r="J196" s="14"/>
      <c r="K196" s="5"/>
      <c r="L196" s="201">
        <v>107870</v>
      </c>
      <c r="M196" s="14">
        <v>1820</v>
      </c>
      <c r="N196" s="469" t="s">
        <v>329</v>
      </c>
      <c r="O196" s="443">
        <v>109690</v>
      </c>
    </row>
    <row r="197" spans="1:15" ht="15.75" x14ac:dyDescent="0.25">
      <c r="A197" s="28" t="s">
        <v>24</v>
      </c>
      <c r="B197" s="31" t="s">
        <v>569</v>
      </c>
      <c r="C197" s="87" t="s">
        <v>571</v>
      </c>
      <c r="D197" s="320" t="s">
        <v>67</v>
      </c>
      <c r="E197" s="9" t="s">
        <v>54</v>
      </c>
      <c r="F197" s="9" t="s">
        <v>10</v>
      </c>
      <c r="G197" s="326"/>
      <c r="H197" s="32">
        <v>199870</v>
      </c>
      <c r="I197" s="177"/>
      <c r="J197" s="14"/>
      <c r="K197" s="5"/>
      <c r="L197" s="201">
        <v>196420</v>
      </c>
      <c r="M197" s="14">
        <v>3450</v>
      </c>
      <c r="N197" s="469" t="s">
        <v>185</v>
      </c>
      <c r="O197" s="443">
        <v>199870</v>
      </c>
    </row>
    <row r="198" spans="1:15" ht="15.75" x14ac:dyDescent="0.25">
      <c r="A198" s="28" t="s">
        <v>428</v>
      </c>
      <c r="B198" s="31" t="s">
        <v>569</v>
      </c>
      <c r="C198" s="73" t="s">
        <v>570</v>
      </c>
      <c r="D198" s="320" t="s">
        <v>134</v>
      </c>
      <c r="E198" s="9" t="s">
        <v>54</v>
      </c>
      <c r="F198" s="9" t="s">
        <v>10</v>
      </c>
      <c r="G198" s="326"/>
      <c r="H198" s="32">
        <v>50750</v>
      </c>
      <c r="I198" s="25"/>
      <c r="J198" s="14"/>
      <c r="K198" s="5"/>
      <c r="L198" s="201">
        <f>'[4]612l'!H9</f>
        <v>50240</v>
      </c>
      <c r="M198" s="14">
        <f>+H198+J198-L198</f>
        <v>510</v>
      </c>
      <c r="N198" s="274" t="s">
        <v>344</v>
      </c>
      <c r="O198" s="65">
        <f>+H198+I198-K198</f>
        <v>50750</v>
      </c>
    </row>
    <row r="199" spans="1:15" s="12" customFormat="1" ht="15.75" x14ac:dyDescent="0.25">
      <c r="A199" s="28" t="s">
        <v>19</v>
      </c>
      <c r="B199" s="31" t="s">
        <v>555</v>
      </c>
      <c r="C199" s="87" t="s">
        <v>556</v>
      </c>
      <c r="D199" s="320" t="s">
        <v>183</v>
      </c>
      <c r="E199" s="9" t="s">
        <v>54</v>
      </c>
      <c r="F199" s="9" t="s">
        <v>10</v>
      </c>
      <c r="G199" s="326"/>
      <c r="H199" s="32">
        <f>78360+103890+130180+25490</f>
        <v>337920</v>
      </c>
      <c r="I199" s="25"/>
      <c r="J199" s="14"/>
      <c r="K199" s="5"/>
      <c r="L199" s="201">
        <f>'[6]092B'!H16</f>
        <v>330070</v>
      </c>
      <c r="M199" s="14">
        <f>+H199+J199-L199</f>
        <v>7850</v>
      </c>
      <c r="N199" s="274" t="s">
        <v>403</v>
      </c>
      <c r="O199" s="65">
        <f>+H199+I199-K199</f>
        <v>337920</v>
      </c>
    </row>
    <row r="200" spans="1:15" ht="15.75" x14ac:dyDescent="0.25">
      <c r="A200" s="28"/>
      <c r="B200" s="31"/>
      <c r="C200" s="87"/>
      <c r="D200" s="489"/>
      <c r="E200" s="9"/>
      <c r="F200" s="9"/>
      <c r="G200" s="326"/>
      <c r="H200" s="32"/>
      <c r="I200" s="177"/>
      <c r="J200" s="14"/>
      <c r="K200" s="5"/>
      <c r="L200" s="133"/>
      <c r="M200" s="14"/>
      <c r="N200" s="469"/>
      <c r="O200" s="443"/>
    </row>
    <row r="201" spans="1:15" x14ac:dyDescent="0.25">
      <c r="A201" s="150"/>
      <c r="B201" s="356"/>
      <c r="C201" s="151"/>
      <c r="D201" s="490"/>
      <c r="E201" s="151"/>
      <c r="F201" s="151"/>
      <c r="G201" s="343"/>
      <c r="H201" s="254"/>
      <c r="I201" s="151"/>
      <c r="J201" s="151"/>
      <c r="K201" s="151"/>
      <c r="L201" s="144"/>
      <c r="M201" s="153"/>
      <c r="N201" s="468"/>
      <c r="O201" s="398"/>
    </row>
    <row r="202" spans="1:15" ht="19.5" x14ac:dyDescent="0.3">
      <c r="A202" s="766" t="s">
        <v>542</v>
      </c>
      <c r="B202" s="767"/>
      <c r="C202" s="767"/>
      <c r="D202" s="767"/>
      <c r="E202" s="767"/>
      <c r="F202" s="767"/>
      <c r="G202" s="767"/>
      <c r="H202" s="767"/>
      <c r="I202" s="767"/>
      <c r="J202" s="767"/>
      <c r="K202" s="767"/>
      <c r="L202" s="768"/>
      <c r="M202" s="162">
        <f>SUM(M175:M201)</f>
        <v>66250</v>
      </c>
      <c r="N202" s="452"/>
      <c r="O202" s="451"/>
    </row>
    <row r="203" spans="1:15" x14ac:dyDescent="0.25">
      <c r="O203" s="3"/>
    </row>
    <row r="204" spans="1:15" x14ac:dyDescent="0.25">
      <c r="O204" s="3"/>
    </row>
    <row r="205" spans="1:15" x14ac:dyDescent="0.25">
      <c r="O205" s="3"/>
    </row>
    <row r="206" spans="1:15" x14ac:dyDescent="0.25">
      <c r="O206" s="3"/>
    </row>
    <row r="207" spans="1:15" x14ac:dyDescent="0.25">
      <c r="O207" s="3"/>
    </row>
    <row r="208" spans="1:15" x14ac:dyDescent="0.25">
      <c r="O208" s="3"/>
    </row>
    <row r="209" spans="15:15" x14ac:dyDescent="0.25">
      <c r="O209" s="3"/>
    </row>
    <row r="210" spans="15:15" x14ac:dyDescent="0.25">
      <c r="O210" s="3"/>
    </row>
    <row r="211" spans="15:15" x14ac:dyDescent="0.25">
      <c r="O211" s="3"/>
    </row>
    <row r="212" spans="15:15" x14ac:dyDescent="0.25">
      <c r="O212" s="3"/>
    </row>
    <row r="213" spans="15:15" x14ac:dyDescent="0.25">
      <c r="O213" s="3"/>
    </row>
    <row r="214" spans="15:15" x14ac:dyDescent="0.25">
      <c r="O214" s="3"/>
    </row>
    <row r="215" spans="15:15" x14ac:dyDescent="0.25">
      <c r="O215" s="3"/>
    </row>
    <row r="216" spans="15:15" x14ac:dyDescent="0.25">
      <c r="O216" s="3"/>
    </row>
    <row r="217" spans="15:15" x14ac:dyDescent="0.25">
      <c r="O217" s="3"/>
    </row>
    <row r="218" spans="15:15" x14ac:dyDescent="0.25">
      <c r="O218" s="3"/>
    </row>
    <row r="219" spans="15:15" x14ac:dyDescent="0.25">
      <c r="O219" s="3"/>
    </row>
    <row r="220" spans="15:15" x14ac:dyDescent="0.25">
      <c r="O220" s="3"/>
    </row>
    <row r="221" spans="15:15" x14ac:dyDescent="0.25">
      <c r="O221" s="3"/>
    </row>
    <row r="222" spans="15:15" x14ac:dyDescent="0.25">
      <c r="O222" s="3"/>
    </row>
    <row r="223" spans="15:15" x14ac:dyDescent="0.25">
      <c r="O223" s="3"/>
    </row>
    <row r="224" spans="15:15" x14ac:dyDescent="0.25">
      <c r="O224" s="3"/>
    </row>
    <row r="225" spans="15:15" x14ac:dyDescent="0.25">
      <c r="O225" s="3"/>
    </row>
    <row r="226" spans="15:15" x14ac:dyDescent="0.25">
      <c r="O226" s="3"/>
    </row>
    <row r="227" spans="15:15" x14ac:dyDescent="0.25">
      <c r="O227" s="3"/>
    </row>
    <row r="228" spans="15:15" x14ac:dyDescent="0.25">
      <c r="O228" s="3"/>
    </row>
    <row r="229" spans="15:15" x14ac:dyDescent="0.25">
      <c r="O229" s="3"/>
    </row>
    <row r="230" spans="15:15" x14ac:dyDescent="0.25">
      <c r="O230" s="3"/>
    </row>
    <row r="231" spans="15:15" x14ac:dyDescent="0.25">
      <c r="O231" s="3"/>
    </row>
    <row r="232" spans="15:15" x14ac:dyDescent="0.25">
      <c r="O232" s="3"/>
    </row>
    <row r="233" spans="15:15" x14ac:dyDescent="0.25">
      <c r="O233" s="3"/>
    </row>
    <row r="234" spans="15:15" x14ac:dyDescent="0.25">
      <c r="O234" s="3"/>
    </row>
    <row r="235" spans="15:15" x14ac:dyDescent="0.25">
      <c r="O235" s="3"/>
    </row>
    <row r="236" spans="15:15" x14ac:dyDescent="0.25">
      <c r="O236" s="3"/>
    </row>
    <row r="237" spans="15:15" x14ac:dyDescent="0.25">
      <c r="O237" s="3"/>
    </row>
    <row r="238" spans="15:15" x14ac:dyDescent="0.25">
      <c r="O238" s="3"/>
    </row>
    <row r="239" spans="15:15" x14ac:dyDescent="0.25">
      <c r="O239" s="3"/>
    </row>
    <row r="240" spans="15:15" x14ac:dyDescent="0.25">
      <c r="O240" s="3"/>
    </row>
    <row r="241" spans="15:15" x14ac:dyDescent="0.25">
      <c r="O241" s="3"/>
    </row>
    <row r="242" spans="15:15" x14ac:dyDescent="0.25">
      <c r="O242" s="3"/>
    </row>
    <row r="243" spans="15:15" x14ac:dyDescent="0.25">
      <c r="O243" s="3"/>
    </row>
    <row r="244" spans="15:15" x14ac:dyDescent="0.25">
      <c r="O244" s="3"/>
    </row>
    <row r="245" spans="15:15" x14ac:dyDescent="0.25">
      <c r="O245" s="3"/>
    </row>
    <row r="246" spans="15:15" x14ac:dyDescent="0.25">
      <c r="O246" s="3"/>
    </row>
    <row r="247" spans="15:15" x14ac:dyDescent="0.25">
      <c r="O247" s="3"/>
    </row>
    <row r="248" spans="15:15" x14ac:dyDescent="0.25">
      <c r="O248" s="3"/>
    </row>
    <row r="249" spans="15:15" x14ac:dyDescent="0.25">
      <c r="O249" s="3"/>
    </row>
    <row r="250" spans="15:15" x14ac:dyDescent="0.25">
      <c r="O250" s="3"/>
    </row>
    <row r="251" spans="15:15" x14ac:dyDescent="0.25">
      <c r="O251" s="3"/>
    </row>
    <row r="252" spans="15:15" x14ac:dyDescent="0.25">
      <c r="O252" s="3"/>
    </row>
    <row r="253" spans="15:15" x14ac:dyDescent="0.25">
      <c r="O253" s="3"/>
    </row>
    <row r="254" spans="15:15" x14ac:dyDescent="0.25">
      <c r="O254" s="3"/>
    </row>
    <row r="255" spans="15:15" x14ac:dyDescent="0.25">
      <c r="O255" s="3"/>
    </row>
    <row r="256" spans="15:15" x14ac:dyDescent="0.25">
      <c r="O256" s="3"/>
    </row>
    <row r="257" spans="15:15" x14ac:dyDescent="0.25">
      <c r="O257" s="3"/>
    </row>
    <row r="258" spans="15:15" x14ac:dyDescent="0.25">
      <c r="O258" s="3"/>
    </row>
    <row r="259" spans="15:15" x14ac:dyDescent="0.25">
      <c r="O259" s="3"/>
    </row>
    <row r="260" spans="15:15" x14ac:dyDescent="0.25">
      <c r="O260" s="3"/>
    </row>
    <row r="261" spans="15:15" x14ac:dyDescent="0.25">
      <c r="O261" s="3"/>
    </row>
    <row r="262" spans="15:15" x14ac:dyDescent="0.25">
      <c r="O262" s="3"/>
    </row>
    <row r="263" spans="15:15" x14ac:dyDescent="0.25">
      <c r="O263" s="3"/>
    </row>
    <row r="264" spans="15:15" x14ac:dyDescent="0.25">
      <c r="O264" s="3"/>
    </row>
    <row r="265" spans="15:15" x14ac:dyDescent="0.25">
      <c r="O265" s="3"/>
    </row>
    <row r="266" spans="15:15" x14ac:dyDescent="0.25">
      <c r="O266" s="3"/>
    </row>
    <row r="267" spans="15:15" x14ac:dyDescent="0.25">
      <c r="O267" s="3"/>
    </row>
    <row r="268" spans="15:15" x14ac:dyDescent="0.25">
      <c r="O268" s="3"/>
    </row>
    <row r="269" spans="15:15" x14ac:dyDescent="0.25">
      <c r="O269" s="3"/>
    </row>
    <row r="270" spans="15:15" x14ac:dyDescent="0.25">
      <c r="O270" s="3"/>
    </row>
    <row r="271" spans="15:15" x14ac:dyDescent="0.25">
      <c r="O271" s="3"/>
    </row>
    <row r="272" spans="15:15" x14ac:dyDescent="0.25">
      <c r="O272" s="3"/>
    </row>
    <row r="273" spans="15:15" x14ac:dyDescent="0.25">
      <c r="O273" s="3"/>
    </row>
    <row r="274" spans="15:15" x14ac:dyDescent="0.25">
      <c r="O274" s="3"/>
    </row>
    <row r="275" spans="15:15" x14ac:dyDescent="0.25">
      <c r="O275" s="3"/>
    </row>
    <row r="276" spans="15:15" x14ac:dyDescent="0.25">
      <c r="O276" s="3"/>
    </row>
    <row r="277" spans="15:15" x14ac:dyDescent="0.25">
      <c r="O277" s="3"/>
    </row>
    <row r="278" spans="15:15" x14ac:dyDescent="0.25">
      <c r="O278" s="3"/>
    </row>
    <row r="279" spans="15:15" x14ac:dyDescent="0.25">
      <c r="O279" s="3"/>
    </row>
    <row r="280" spans="15:15" x14ac:dyDescent="0.25">
      <c r="O280" s="3"/>
    </row>
    <row r="281" spans="15:15" x14ac:dyDescent="0.25">
      <c r="O281" s="3"/>
    </row>
    <row r="282" spans="15:15" x14ac:dyDescent="0.25">
      <c r="O282" s="3"/>
    </row>
    <row r="283" spans="15:15" x14ac:dyDescent="0.25">
      <c r="O283" s="3"/>
    </row>
    <row r="284" spans="15:15" x14ac:dyDescent="0.25">
      <c r="O284" s="3"/>
    </row>
    <row r="285" spans="15:15" x14ac:dyDescent="0.25">
      <c r="O285" s="3"/>
    </row>
    <row r="286" spans="15:15" x14ac:dyDescent="0.25">
      <c r="O286" s="3"/>
    </row>
    <row r="287" spans="15:15" x14ac:dyDescent="0.25">
      <c r="O287" s="3"/>
    </row>
    <row r="288" spans="15:15" x14ac:dyDescent="0.25">
      <c r="O288" s="3"/>
    </row>
    <row r="289" spans="15:15" x14ac:dyDescent="0.25">
      <c r="O289" s="3"/>
    </row>
    <row r="290" spans="15:15" x14ac:dyDescent="0.25">
      <c r="O290" s="3"/>
    </row>
    <row r="291" spans="15:15" x14ac:dyDescent="0.25">
      <c r="O291" s="3"/>
    </row>
    <row r="292" spans="15:15" x14ac:dyDescent="0.25">
      <c r="O292" s="3"/>
    </row>
    <row r="293" spans="15:15" x14ac:dyDescent="0.25">
      <c r="O293" s="3"/>
    </row>
    <row r="294" spans="15:15" x14ac:dyDescent="0.25">
      <c r="O294" s="3"/>
    </row>
    <row r="295" spans="15:15" x14ac:dyDescent="0.25">
      <c r="O295" s="3"/>
    </row>
    <row r="296" spans="15:15" x14ac:dyDescent="0.25">
      <c r="O296" s="3"/>
    </row>
    <row r="297" spans="15:15" x14ac:dyDescent="0.25">
      <c r="O297" s="3"/>
    </row>
    <row r="298" spans="15:15" x14ac:dyDescent="0.25">
      <c r="O298" s="3"/>
    </row>
    <row r="299" spans="15:15" x14ac:dyDescent="0.25">
      <c r="O299" s="3"/>
    </row>
    <row r="300" spans="15:15" x14ac:dyDescent="0.25">
      <c r="O300" s="3"/>
    </row>
    <row r="301" spans="15:15" x14ac:dyDescent="0.25">
      <c r="O301" s="3"/>
    </row>
    <row r="302" spans="15:15" x14ac:dyDescent="0.25">
      <c r="O302" s="3"/>
    </row>
    <row r="303" spans="15:15" x14ac:dyDescent="0.25">
      <c r="O303" s="3"/>
    </row>
    <row r="304" spans="15:15" x14ac:dyDescent="0.25">
      <c r="O304" s="3"/>
    </row>
    <row r="305" spans="15:15" x14ac:dyDescent="0.25">
      <c r="O305" s="3"/>
    </row>
    <row r="306" spans="15:15" x14ac:dyDescent="0.25">
      <c r="O306" s="3"/>
    </row>
    <row r="307" spans="15:15" x14ac:dyDescent="0.25">
      <c r="O307" s="3"/>
    </row>
    <row r="308" spans="15:15" x14ac:dyDescent="0.25">
      <c r="O308" s="3"/>
    </row>
    <row r="309" spans="15:15" x14ac:dyDescent="0.25">
      <c r="O309" s="3"/>
    </row>
    <row r="310" spans="15:15" x14ac:dyDescent="0.25">
      <c r="O310" s="3"/>
    </row>
    <row r="311" spans="15:15" x14ac:dyDescent="0.25">
      <c r="O311" s="3"/>
    </row>
    <row r="312" spans="15:15" x14ac:dyDescent="0.25">
      <c r="O312" s="3"/>
    </row>
    <row r="313" spans="15:15" x14ac:dyDescent="0.25">
      <c r="O313" s="3"/>
    </row>
    <row r="314" spans="15:15" x14ac:dyDescent="0.25">
      <c r="O314" s="3"/>
    </row>
    <row r="315" spans="15:15" x14ac:dyDescent="0.25">
      <c r="O315" s="3"/>
    </row>
    <row r="316" spans="15:15" x14ac:dyDescent="0.25">
      <c r="O316" s="3"/>
    </row>
    <row r="317" spans="15:15" x14ac:dyDescent="0.25">
      <c r="O317" s="3"/>
    </row>
    <row r="318" spans="15:15" x14ac:dyDescent="0.25">
      <c r="O318" s="3"/>
    </row>
    <row r="319" spans="15:15" x14ac:dyDescent="0.25">
      <c r="O319" s="3"/>
    </row>
    <row r="320" spans="15:15" x14ac:dyDescent="0.25">
      <c r="O320" s="3"/>
    </row>
    <row r="321" spans="15:15" x14ac:dyDescent="0.25">
      <c r="O321" s="3"/>
    </row>
    <row r="322" spans="15:15" x14ac:dyDescent="0.25">
      <c r="O322" s="3"/>
    </row>
    <row r="323" spans="15:15" x14ac:dyDescent="0.25">
      <c r="O323" s="3"/>
    </row>
    <row r="324" spans="15:15" x14ac:dyDescent="0.25">
      <c r="O324" s="3"/>
    </row>
    <row r="325" spans="15:15" x14ac:dyDescent="0.25">
      <c r="O325" s="3"/>
    </row>
    <row r="326" spans="15:15" x14ac:dyDescent="0.25">
      <c r="O326" s="3"/>
    </row>
    <row r="327" spans="15:15" x14ac:dyDescent="0.25">
      <c r="O327" s="3"/>
    </row>
    <row r="328" spans="15:15" x14ac:dyDescent="0.25">
      <c r="O328" s="3"/>
    </row>
    <row r="329" spans="15:15" x14ac:dyDescent="0.25">
      <c r="O329" s="3"/>
    </row>
    <row r="330" spans="15:15" x14ac:dyDescent="0.25">
      <c r="O330" s="3"/>
    </row>
    <row r="331" spans="15:15" x14ac:dyDescent="0.25">
      <c r="O331" s="3"/>
    </row>
    <row r="332" spans="15:15" x14ac:dyDescent="0.25">
      <c r="O332" s="3"/>
    </row>
    <row r="333" spans="15:15" x14ac:dyDescent="0.25">
      <c r="O333" s="3"/>
    </row>
    <row r="334" spans="15:15" x14ac:dyDescent="0.25">
      <c r="O334" s="3"/>
    </row>
    <row r="335" spans="15:15" x14ac:dyDescent="0.25">
      <c r="O335" s="3"/>
    </row>
    <row r="336" spans="15:15" x14ac:dyDescent="0.25">
      <c r="O336" s="3"/>
    </row>
    <row r="337" spans="15:15" x14ac:dyDescent="0.25">
      <c r="O337" s="3"/>
    </row>
    <row r="338" spans="15:15" x14ac:dyDescent="0.25">
      <c r="O338" s="3"/>
    </row>
    <row r="339" spans="15:15" x14ac:dyDescent="0.25">
      <c r="O339" s="3"/>
    </row>
    <row r="340" spans="15:15" x14ac:dyDescent="0.25">
      <c r="O340" s="3"/>
    </row>
    <row r="341" spans="15:15" x14ac:dyDescent="0.25">
      <c r="O341" s="3"/>
    </row>
    <row r="342" spans="15:15" x14ac:dyDescent="0.25">
      <c r="O342" s="3"/>
    </row>
    <row r="343" spans="15:15" x14ac:dyDescent="0.25">
      <c r="O343" s="3"/>
    </row>
    <row r="344" spans="15:15" x14ac:dyDescent="0.25">
      <c r="O344" s="3"/>
    </row>
    <row r="345" spans="15:15" x14ac:dyDescent="0.25">
      <c r="O345" s="3"/>
    </row>
    <row r="346" spans="15:15" x14ac:dyDescent="0.25">
      <c r="O346" s="3"/>
    </row>
    <row r="347" spans="15:15" x14ac:dyDescent="0.25">
      <c r="O347" s="3"/>
    </row>
    <row r="348" spans="15:15" x14ac:dyDescent="0.25">
      <c r="O348" s="3"/>
    </row>
    <row r="349" spans="15:15" x14ac:dyDescent="0.25">
      <c r="O349" s="3"/>
    </row>
    <row r="350" spans="15:15" x14ac:dyDescent="0.25">
      <c r="O350" s="3"/>
    </row>
    <row r="351" spans="15:15" x14ac:dyDescent="0.25">
      <c r="O351" s="3"/>
    </row>
    <row r="352" spans="15:15" x14ac:dyDescent="0.25">
      <c r="O352" s="3"/>
    </row>
    <row r="353" spans="15:15" x14ac:dyDescent="0.25">
      <c r="O353" s="3"/>
    </row>
    <row r="354" spans="15:15" x14ac:dyDescent="0.25">
      <c r="O354" s="3"/>
    </row>
    <row r="355" spans="15:15" x14ac:dyDescent="0.25">
      <c r="O355" s="3"/>
    </row>
    <row r="356" spans="15:15" x14ac:dyDescent="0.25">
      <c r="O356" s="3"/>
    </row>
    <row r="357" spans="15:15" x14ac:dyDescent="0.25">
      <c r="O357" s="3"/>
    </row>
    <row r="358" spans="15:15" x14ac:dyDescent="0.25">
      <c r="O358" s="3"/>
    </row>
    <row r="359" spans="15:15" x14ac:dyDescent="0.25">
      <c r="O359" s="3"/>
    </row>
    <row r="360" spans="15:15" x14ac:dyDescent="0.25">
      <c r="O360" s="3"/>
    </row>
    <row r="361" spans="15:15" x14ac:dyDescent="0.25">
      <c r="O361" s="3"/>
    </row>
    <row r="362" spans="15:15" x14ac:dyDescent="0.25">
      <c r="O362" s="3"/>
    </row>
    <row r="363" spans="15:15" x14ac:dyDescent="0.25">
      <c r="O363" s="3"/>
    </row>
    <row r="364" spans="15:15" x14ac:dyDescent="0.25">
      <c r="O364" s="3"/>
    </row>
    <row r="365" spans="15:15" x14ac:dyDescent="0.25">
      <c r="O365" s="3"/>
    </row>
    <row r="366" spans="15:15" x14ac:dyDescent="0.25">
      <c r="O366" s="3"/>
    </row>
    <row r="367" spans="15:15" x14ac:dyDescent="0.25">
      <c r="O367" s="3"/>
    </row>
    <row r="368" spans="15:15" x14ac:dyDescent="0.25">
      <c r="O368" s="3"/>
    </row>
    <row r="369" spans="15:15" x14ac:dyDescent="0.25">
      <c r="O369" s="3"/>
    </row>
    <row r="370" spans="15:15" x14ac:dyDescent="0.25">
      <c r="O370" s="3"/>
    </row>
    <row r="371" spans="15:15" x14ac:dyDescent="0.25">
      <c r="O371" s="3"/>
    </row>
    <row r="372" spans="15:15" x14ac:dyDescent="0.25">
      <c r="O372" s="3"/>
    </row>
    <row r="373" spans="15:15" x14ac:dyDescent="0.25">
      <c r="O373" s="3"/>
    </row>
    <row r="374" spans="15:15" x14ac:dyDescent="0.25">
      <c r="O374" s="3"/>
    </row>
    <row r="375" spans="15:15" x14ac:dyDescent="0.25">
      <c r="O375" s="3"/>
    </row>
    <row r="376" spans="15:15" x14ac:dyDescent="0.25">
      <c r="O376" s="3"/>
    </row>
    <row r="377" spans="15:15" x14ac:dyDescent="0.25">
      <c r="O377" s="3"/>
    </row>
    <row r="378" spans="15:15" x14ac:dyDescent="0.25">
      <c r="O378" s="3"/>
    </row>
    <row r="379" spans="15:15" x14ac:dyDescent="0.25">
      <c r="O379" s="3"/>
    </row>
    <row r="380" spans="15:15" x14ac:dyDescent="0.25">
      <c r="O380" s="3"/>
    </row>
    <row r="381" spans="15:15" x14ac:dyDescent="0.25">
      <c r="O381" s="3"/>
    </row>
    <row r="382" spans="15:15" x14ac:dyDescent="0.25">
      <c r="O382" s="3"/>
    </row>
    <row r="383" spans="15:15" x14ac:dyDescent="0.25">
      <c r="O383" s="3"/>
    </row>
    <row r="384" spans="15:15" x14ac:dyDescent="0.25">
      <c r="O384" s="3"/>
    </row>
    <row r="385" spans="15:15" x14ac:dyDescent="0.25">
      <c r="O385" s="3"/>
    </row>
    <row r="386" spans="15:15" x14ac:dyDescent="0.25">
      <c r="O386" s="3"/>
    </row>
    <row r="387" spans="15:15" x14ac:dyDescent="0.25">
      <c r="O387" s="3"/>
    </row>
    <row r="388" spans="15:15" x14ac:dyDescent="0.25">
      <c r="O388" s="3"/>
    </row>
    <row r="389" spans="15:15" x14ac:dyDescent="0.25">
      <c r="O389" s="3"/>
    </row>
    <row r="390" spans="15:15" x14ac:dyDescent="0.25">
      <c r="O390" s="3"/>
    </row>
    <row r="391" spans="15:15" x14ac:dyDescent="0.25">
      <c r="O391" s="3"/>
    </row>
    <row r="392" spans="15:15" x14ac:dyDescent="0.25">
      <c r="O392" s="3"/>
    </row>
    <row r="393" spans="15:15" x14ac:dyDescent="0.25">
      <c r="O393" s="3"/>
    </row>
    <row r="394" spans="15:15" x14ac:dyDescent="0.25">
      <c r="O394" s="3"/>
    </row>
    <row r="395" spans="15:15" x14ac:dyDescent="0.25">
      <c r="O395" s="3"/>
    </row>
    <row r="396" spans="15:15" x14ac:dyDescent="0.25">
      <c r="O396" s="3"/>
    </row>
    <row r="397" spans="15:15" x14ac:dyDescent="0.25">
      <c r="O397" s="3"/>
    </row>
    <row r="398" spans="15:15" x14ac:dyDescent="0.25">
      <c r="O398" s="3"/>
    </row>
    <row r="399" spans="15:15" x14ac:dyDescent="0.25">
      <c r="O399" s="3"/>
    </row>
    <row r="400" spans="15:15" x14ac:dyDescent="0.25">
      <c r="O400" s="3"/>
    </row>
    <row r="401" spans="15:15" x14ac:dyDescent="0.25">
      <c r="O401" s="3"/>
    </row>
    <row r="402" spans="15:15" x14ac:dyDescent="0.25">
      <c r="O402" s="3"/>
    </row>
    <row r="403" spans="15:15" x14ac:dyDescent="0.25">
      <c r="O403" s="3"/>
    </row>
    <row r="404" spans="15:15" x14ac:dyDescent="0.25">
      <c r="O404" s="3"/>
    </row>
    <row r="405" spans="15:15" x14ac:dyDescent="0.25">
      <c r="O405" s="3"/>
    </row>
    <row r="406" spans="15:15" x14ac:dyDescent="0.25">
      <c r="O406" s="3"/>
    </row>
    <row r="407" spans="15:15" x14ac:dyDescent="0.25">
      <c r="O407" s="3"/>
    </row>
    <row r="408" spans="15:15" x14ac:dyDescent="0.25">
      <c r="O408" s="3"/>
    </row>
    <row r="409" spans="15:15" x14ac:dyDescent="0.25">
      <c r="O409" s="3"/>
    </row>
    <row r="410" spans="15:15" x14ac:dyDescent="0.25">
      <c r="O410" s="3"/>
    </row>
    <row r="411" spans="15:15" x14ac:dyDescent="0.25">
      <c r="O411" s="3"/>
    </row>
    <row r="412" spans="15:15" x14ac:dyDescent="0.25">
      <c r="O412" s="3"/>
    </row>
    <row r="413" spans="15:15" x14ac:dyDescent="0.25">
      <c r="O413" s="3"/>
    </row>
    <row r="414" spans="15:15" x14ac:dyDescent="0.25">
      <c r="O414" s="3"/>
    </row>
    <row r="415" spans="15:15" x14ac:dyDescent="0.25">
      <c r="O415" s="3"/>
    </row>
    <row r="416" spans="15:15" x14ac:dyDescent="0.25">
      <c r="O416" s="3"/>
    </row>
    <row r="417" spans="15:15" x14ac:dyDescent="0.25">
      <c r="O417" s="3"/>
    </row>
    <row r="418" spans="15:15" x14ac:dyDescent="0.25">
      <c r="O418" s="3"/>
    </row>
    <row r="419" spans="15:15" x14ac:dyDescent="0.25">
      <c r="O419" s="3"/>
    </row>
    <row r="420" spans="15:15" x14ac:dyDescent="0.25">
      <c r="O420" s="3"/>
    </row>
    <row r="421" spans="15:15" x14ac:dyDescent="0.25">
      <c r="O421" s="3"/>
    </row>
    <row r="422" spans="15:15" x14ac:dyDescent="0.25">
      <c r="O422" s="3"/>
    </row>
    <row r="423" spans="15:15" x14ac:dyDescent="0.25">
      <c r="O423" s="3"/>
    </row>
    <row r="424" spans="15:15" x14ac:dyDescent="0.25">
      <c r="O424" s="3"/>
    </row>
    <row r="425" spans="15:15" x14ac:dyDescent="0.25">
      <c r="O425" s="3"/>
    </row>
    <row r="426" spans="15:15" x14ac:dyDescent="0.25">
      <c r="O426" s="3"/>
    </row>
    <row r="427" spans="15:15" x14ac:dyDescent="0.25">
      <c r="O427" s="3"/>
    </row>
    <row r="428" spans="15:15" x14ac:dyDescent="0.25">
      <c r="O428" s="3"/>
    </row>
    <row r="429" spans="15:15" x14ac:dyDescent="0.25">
      <c r="O429" s="3"/>
    </row>
    <row r="430" spans="15:15" x14ac:dyDescent="0.25">
      <c r="O430" s="3"/>
    </row>
    <row r="431" spans="15:15" x14ac:dyDescent="0.25">
      <c r="O431" s="3"/>
    </row>
    <row r="432" spans="15:15" x14ac:dyDescent="0.25">
      <c r="O432" s="3"/>
    </row>
    <row r="433" spans="15:15" x14ac:dyDescent="0.25">
      <c r="O433" s="3"/>
    </row>
    <row r="434" spans="15:15" x14ac:dyDescent="0.25">
      <c r="O434" s="3"/>
    </row>
    <row r="435" spans="15:15" x14ac:dyDescent="0.25">
      <c r="O435" s="3"/>
    </row>
    <row r="436" spans="15:15" x14ac:dyDescent="0.25">
      <c r="O436" s="3"/>
    </row>
    <row r="437" spans="15:15" x14ac:dyDescent="0.25">
      <c r="O437" s="3"/>
    </row>
    <row r="438" spans="15:15" x14ac:dyDescent="0.25">
      <c r="O438" s="3"/>
    </row>
    <row r="439" spans="15:15" x14ac:dyDescent="0.25">
      <c r="O439" s="3"/>
    </row>
    <row r="440" spans="15:15" x14ac:dyDescent="0.25">
      <c r="O440" s="3"/>
    </row>
    <row r="441" spans="15:15" x14ac:dyDescent="0.25">
      <c r="O441" s="3"/>
    </row>
    <row r="442" spans="15:15" x14ac:dyDescent="0.25">
      <c r="O442" s="3"/>
    </row>
    <row r="443" spans="15:15" x14ac:dyDescent="0.25">
      <c r="O443" s="3"/>
    </row>
    <row r="444" spans="15:15" x14ac:dyDescent="0.25">
      <c r="O444" s="3"/>
    </row>
    <row r="445" spans="15:15" x14ac:dyDescent="0.25">
      <c r="O445" s="3"/>
    </row>
    <row r="446" spans="15:15" x14ac:dyDescent="0.25">
      <c r="O446" s="3"/>
    </row>
    <row r="447" spans="15:15" x14ac:dyDescent="0.25">
      <c r="O447" s="3"/>
    </row>
    <row r="448" spans="15:15" x14ac:dyDescent="0.25">
      <c r="O448" s="3"/>
    </row>
    <row r="449" spans="15:15" x14ac:dyDescent="0.25">
      <c r="O449" s="3"/>
    </row>
    <row r="450" spans="15:15" x14ac:dyDescent="0.25">
      <c r="O450" s="3"/>
    </row>
    <row r="451" spans="15:15" x14ac:dyDescent="0.25">
      <c r="O451" s="3"/>
    </row>
    <row r="452" spans="15:15" x14ac:dyDescent="0.25">
      <c r="O452" s="3"/>
    </row>
    <row r="453" spans="15:15" x14ac:dyDescent="0.25">
      <c r="O453" s="3"/>
    </row>
    <row r="454" spans="15:15" x14ac:dyDescent="0.25">
      <c r="O454" s="3"/>
    </row>
    <row r="455" spans="15:15" x14ac:dyDescent="0.25">
      <c r="O455" s="3"/>
    </row>
    <row r="456" spans="15:15" x14ac:dyDescent="0.25">
      <c r="O456" s="3"/>
    </row>
    <row r="457" spans="15:15" x14ac:dyDescent="0.25">
      <c r="O457" s="3"/>
    </row>
    <row r="458" spans="15:15" x14ac:dyDescent="0.25">
      <c r="O458" s="3"/>
    </row>
    <row r="459" spans="15:15" x14ac:dyDescent="0.25">
      <c r="O459" s="3"/>
    </row>
    <row r="460" spans="15:15" x14ac:dyDescent="0.25">
      <c r="O460" s="3"/>
    </row>
    <row r="461" spans="15:15" x14ac:dyDescent="0.25">
      <c r="O461" s="3"/>
    </row>
    <row r="462" spans="15:15" x14ac:dyDescent="0.25">
      <c r="O462" s="3"/>
    </row>
    <row r="463" spans="15:15" x14ac:dyDescent="0.25">
      <c r="O463" s="3"/>
    </row>
    <row r="464" spans="15:15" x14ac:dyDescent="0.25">
      <c r="O464" s="3"/>
    </row>
    <row r="465" spans="15:15" x14ac:dyDescent="0.25">
      <c r="O465" s="3"/>
    </row>
    <row r="466" spans="15:15" x14ac:dyDescent="0.25">
      <c r="O466" s="3"/>
    </row>
    <row r="467" spans="15:15" x14ac:dyDescent="0.25">
      <c r="O467" s="3"/>
    </row>
    <row r="468" spans="15:15" x14ac:dyDescent="0.25">
      <c r="O468" s="3"/>
    </row>
    <row r="469" spans="15:15" x14ac:dyDescent="0.25">
      <c r="O469" s="3"/>
    </row>
    <row r="470" spans="15:15" x14ac:dyDescent="0.25">
      <c r="O470" s="3"/>
    </row>
    <row r="471" spans="15:15" x14ac:dyDescent="0.25">
      <c r="O471" s="3"/>
    </row>
    <row r="472" spans="15:15" x14ac:dyDescent="0.25">
      <c r="O472" s="3"/>
    </row>
    <row r="473" spans="15:15" x14ac:dyDescent="0.25">
      <c r="O473" s="3"/>
    </row>
    <row r="474" spans="15:15" x14ac:dyDescent="0.25">
      <c r="O474" s="3"/>
    </row>
    <row r="475" spans="15:15" x14ac:dyDescent="0.25">
      <c r="O475" s="3"/>
    </row>
    <row r="476" spans="15:15" x14ac:dyDescent="0.25">
      <c r="O476" s="3"/>
    </row>
    <row r="477" spans="15:15" x14ac:dyDescent="0.25">
      <c r="O477" s="3"/>
    </row>
    <row r="478" spans="15:15" x14ac:dyDescent="0.25">
      <c r="O478" s="3"/>
    </row>
    <row r="479" spans="15:15" x14ac:dyDescent="0.25">
      <c r="O479" s="3"/>
    </row>
    <row r="480" spans="15:15" x14ac:dyDescent="0.25">
      <c r="O480" s="3"/>
    </row>
    <row r="481" spans="15:15" x14ac:dyDescent="0.25">
      <c r="O481" s="3"/>
    </row>
    <row r="482" spans="15:15" x14ac:dyDescent="0.25">
      <c r="O482" s="3"/>
    </row>
    <row r="483" spans="15:15" x14ac:dyDescent="0.25">
      <c r="O483" s="3"/>
    </row>
    <row r="484" spans="15:15" x14ac:dyDescent="0.25">
      <c r="O484" s="3"/>
    </row>
    <row r="485" spans="15:15" x14ac:dyDescent="0.25">
      <c r="O485" s="3"/>
    </row>
    <row r="486" spans="15:15" x14ac:dyDescent="0.25">
      <c r="O486" s="3"/>
    </row>
    <row r="487" spans="15:15" x14ac:dyDescent="0.25">
      <c r="O487" s="3"/>
    </row>
    <row r="488" spans="15:15" x14ac:dyDescent="0.25">
      <c r="O488" s="3"/>
    </row>
    <row r="489" spans="15:15" x14ac:dyDescent="0.25">
      <c r="O489" s="3"/>
    </row>
    <row r="490" spans="15:15" x14ac:dyDescent="0.25">
      <c r="O490" s="3"/>
    </row>
    <row r="491" spans="15:15" x14ac:dyDescent="0.25">
      <c r="O491" s="3"/>
    </row>
    <row r="492" spans="15:15" x14ac:dyDescent="0.25">
      <c r="O492" s="3"/>
    </row>
    <row r="493" spans="15:15" x14ac:dyDescent="0.25">
      <c r="O493" s="3"/>
    </row>
    <row r="494" spans="15:15" x14ac:dyDescent="0.25">
      <c r="O494" s="3"/>
    </row>
    <row r="495" spans="15:15" x14ac:dyDescent="0.25">
      <c r="O495" s="3"/>
    </row>
    <row r="496" spans="15:15" x14ac:dyDescent="0.25">
      <c r="O496" s="3"/>
    </row>
    <row r="497" spans="15:15" x14ac:dyDescent="0.25">
      <c r="O497" s="3"/>
    </row>
    <row r="498" spans="15:15" x14ac:dyDescent="0.25">
      <c r="O498" s="3"/>
    </row>
    <row r="499" spans="15:15" x14ac:dyDescent="0.25">
      <c r="O499" s="3"/>
    </row>
    <row r="500" spans="15:15" x14ac:dyDescent="0.25">
      <c r="O500" s="3"/>
    </row>
    <row r="501" spans="15:15" x14ac:dyDescent="0.25">
      <c r="O501" s="3"/>
    </row>
    <row r="502" spans="15:15" x14ac:dyDescent="0.25">
      <c r="O502" s="3"/>
    </row>
    <row r="503" spans="15:15" x14ac:dyDescent="0.25">
      <c r="O503" s="3"/>
    </row>
    <row r="504" spans="15:15" x14ac:dyDescent="0.25">
      <c r="O504" s="3"/>
    </row>
    <row r="505" spans="15:15" x14ac:dyDescent="0.25">
      <c r="O505" s="3"/>
    </row>
    <row r="506" spans="15:15" x14ac:dyDescent="0.25">
      <c r="O506" s="3"/>
    </row>
    <row r="507" spans="15:15" x14ac:dyDescent="0.25">
      <c r="O507" s="3"/>
    </row>
    <row r="508" spans="15:15" x14ac:dyDescent="0.25">
      <c r="O508" s="3"/>
    </row>
    <row r="509" spans="15:15" x14ac:dyDescent="0.25">
      <c r="O509" s="3"/>
    </row>
    <row r="510" spans="15:15" x14ac:dyDescent="0.25">
      <c r="O510" s="3"/>
    </row>
    <row r="511" spans="15:15" x14ac:dyDescent="0.25">
      <c r="O511" s="3"/>
    </row>
    <row r="512" spans="15:15" x14ac:dyDescent="0.25">
      <c r="O512" s="3"/>
    </row>
    <row r="513" spans="15:15" x14ac:dyDescent="0.25">
      <c r="O513" s="3"/>
    </row>
    <row r="514" spans="15:15" x14ac:dyDescent="0.25">
      <c r="O514" s="3"/>
    </row>
    <row r="515" spans="15:15" x14ac:dyDescent="0.25">
      <c r="O515" s="3"/>
    </row>
    <row r="516" spans="15:15" x14ac:dyDescent="0.25">
      <c r="O516" s="3"/>
    </row>
    <row r="517" spans="15:15" x14ac:dyDescent="0.25">
      <c r="O517" s="3"/>
    </row>
    <row r="518" spans="15:15" x14ac:dyDescent="0.25">
      <c r="O518" s="3"/>
    </row>
    <row r="519" spans="15:15" x14ac:dyDescent="0.25">
      <c r="O519" s="3"/>
    </row>
    <row r="520" spans="15:15" x14ac:dyDescent="0.25">
      <c r="O520" s="3"/>
    </row>
    <row r="521" spans="15:15" x14ac:dyDescent="0.25">
      <c r="O521" s="3"/>
    </row>
    <row r="522" spans="15:15" x14ac:dyDescent="0.25">
      <c r="O522" s="3"/>
    </row>
    <row r="523" spans="15:15" x14ac:dyDescent="0.25">
      <c r="O523" s="3"/>
    </row>
    <row r="524" spans="15:15" x14ac:dyDescent="0.25">
      <c r="O524" s="3"/>
    </row>
    <row r="525" spans="15:15" x14ac:dyDescent="0.25">
      <c r="O525" s="3"/>
    </row>
    <row r="526" spans="15:15" x14ac:dyDescent="0.25">
      <c r="O526" s="3"/>
    </row>
    <row r="527" spans="15:15" x14ac:dyDescent="0.25">
      <c r="O527" s="3"/>
    </row>
    <row r="528" spans="15:15" x14ac:dyDescent="0.25">
      <c r="O528" s="3"/>
    </row>
    <row r="529" spans="15:15" x14ac:dyDescent="0.25">
      <c r="O529" s="3"/>
    </row>
    <row r="530" spans="15:15" x14ac:dyDescent="0.25">
      <c r="O530" s="3"/>
    </row>
    <row r="531" spans="15:15" x14ac:dyDescent="0.25">
      <c r="O531" s="3"/>
    </row>
    <row r="532" spans="15:15" x14ac:dyDescent="0.25">
      <c r="O532" s="3"/>
    </row>
    <row r="533" spans="15:15" x14ac:dyDescent="0.25">
      <c r="O533" s="3"/>
    </row>
    <row r="534" spans="15:15" x14ac:dyDescent="0.25">
      <c r="O534" s="3"/>
    </row>
    <row r="535" spans="15:15" x14ac:dyDescent="0.25">
      <c r="O535" s="3"/>
    </row>
    <row r="536" spans="15:15" x14ac:dyDescent="0.25">
      <c r="O536" s="3"/>
    </row>
    <row r="537" spans="15:15" x14ac:dyDescent="0.25">
      <c r="O537" s="3"/>
    </row>
    <row r="538" spans="15:15" x14ac:dyDescent="0.25">
      <c r="O538" s="3"/>
    </row>
    <row r="539" spans="15:15" x14ac:dyDescent="0.25">
      <c r="O539" s="3"/>
    </row>
    <row r="540" spans="15:15" x14ac:dyDescent="0.25">
      <c r="O540" s="3"/>
    </row>
    <row r="541" spans="15:15" x14ac:dyDescent="0.25">
      <c r="O541" s="3"/>
    </row>
    <row r="542" spans="15:15" x14ac:dyDescent="0.25">
      <c r="O542" s="3"/>
    </row>
    <row r="543" spans="15:15" x14ac:dyDescent="0.25">
      <c r="O543" s="3"/>
    </row>
    <row r="544" spans="15:15" x14ac:dyDescent="0.25">
      <c r="O544" s="3"/>
    </row>
    <row r="545" spans="15:15" x14ac:dyDescent="0.25">
      <c r="O545" s="3"/>
    </row>
    <row r="546" spans="15:15" x14ac:dyDescent="0.25">
      <c r="O546" s="3"/>
    </row>
    <row r="547" spans="15:15" x14ac:dyDescent="0.25">
      <c r="O547" s="3"/>
    </row>
    <row r="548" spans="15:15" x14ac:dyDescent="0.25">
      <c r="O548" s="3"/>
    </row>
    <row r="549" spans="15:15" x14ac:dyDescent="0.25">
      <c r="O549" s="3"/>
    </row>
    <row r="550" spans="15:15" x14ac:dyDescent="0.25">
      <c r="O550" s="3"/>
    </row>
    <row r="551" spans="15:15" x14ac:dyDescent="0.25">
      <c r="O551" s="3"/>
    </row>
    <row r="552" spans="15:15" x14ac:dyDescent="0.25">
      <c r="O552" s="3"/>
    </row>
    <row r="553" spans="15:15" x14ac:dyDescent="0.25">
      <c r="O553" s="3"/>
    </row>
    <row r="554" spans="15:15" x14ac:dyDescent="0.25">
      <c r="O554" s="3"/>
    </row>
    <row r="555" spans="15:15" x14ac:dyDescent="0.25">
      <c r="O555" s="3"/>
    </row>
    <row r="556" spans="15:15" x14ac:dyDescent="0.25">
      <c r="O556" s="3"/>
    </row>
    <row r="557" spans="15:15" x14ac:dyDescent="0.25">
      <c r="O557" s="3"/>
    </row>
    <row r="558" spans="15:15" x14ac:dyDescent="0.25">
      <c r="O558" s="3"/>
    </row>
    <row r="559" spans="15:15" x14ac:dyDescent="0.25">
      <c r="O559" s="3"/>
    </row>
    <row r="560" spans="15:15" x14ac:dyDescent="0.25">
      <c r="O560" s="3"/>
    </row>
    <row r="561" spans="15:15" x14ac:dyDescent="0.25">
      <c r="O561" s="3"/>
    </row>
    <row r="562" spans="15:15" x14ac:dyDescent="0.25">
      <c r="O562" s="3"/>
    </row>
    <row r="563" spans="15:15" x14ac:dyDescent="0.25">
      <c r="O563" s="3"/>
    </row>
    <row r="564" spans="15:15" x14ac:dyDescent="0.25">
      <c r="O564" s="3"/>
    </row>
    <row r="565" spans="15:15" x14ac:dyDescent="0.25">
      <c r="O565" s="3"/>
    </row>
    <row r="566" spans="15:15" x14ac:dyDescent="0.25">
      <c r="O566" s="3"/>
    </row>
    <row r="567" spans="15:15" x14ac:dyDescent="0.25">
      <c r="O567" s="3"/>
    </row>
    <row r="568" spans="15:15" x14ac:dyDescent="0.25">
      <c r="O568" s="3"/>
    </row>
    <row r="569" spans="15:15" x14ac:dyDescent="0.25">
      <c r="O569" s="3"/>
    </row>
    <row r="570" spans="15:15" x14ac:dyDescent="0.25">
      <c r="O570" s="3"/>
    </row>
    <row r="571" spans="15:15" x14ac:dyDescent="0.25">
      <c r="O571" s="3"/>
    </row>
    <row r="572" spans="15:15" x14ac:dyDescent="0.25">
      <c r="O572" s="3"/>
    </row>
    <row r="573" spans="15:15" x14ac:dyDescent="0.25">
      <c r="O573" s="3"/>
    </row>
    <row r="574" spans="15:15" x14ac:dyDescent="0.25">
      <c r="O574" s="3"/>
    </row>
    <row r="575" spans="15:15" x14ac:dyDescent="0.25">
      <c r="O575" s="3"/>
    </row>
    <row r="576" spans="15:15" x14ac:dyDescent="0.25">
      <c r="O576" s="3"/>
    </row>
    <row r="577" spans="15:15" x14ac:dyDescent="0.25">
      <c r="O577" s="3"/>
    </row>
    <row r="578" spans="15:15" x14ac:dyDescent="0.25">
      <c r="O578" s="3"/>
    </row>
    <row r="579" spans="15:15" x14ac:dyDescent="0.25">
      <c r="O579" s="3"/>
    </row>
    <row r="580" spans="15:15" x14ac:dyDescent="0.25">
      <c r="O580" s="3"/>
    </row>
    <row r="581" spans="15:15" x14ac:dyDescent="0.25">
      <c r="O581" s="3"/>
    </row>
    <row r="582" spans="15:15" x14ac:dyDescent="0.25">
      <c r="O582" s="3"/>
    </row>
    <row r="583" spans="15:15" x14ac:dyDescent="0.25">
      <c r="O583" s="3"/>
    </row>
    <row r="584" spans="15:15" x14ac:dyDescent="0.25">
      <c r="O584" s="3"/>
    </row>
    <row r="585" spans="15:15" x14ac:dyDescent="0.25">
      <c r="O585" s="3"/>
    </row>
    <row r="586" spans="15:15" x14ac:dyDescent="0.25">
      <c r="O586" s="3"/>
    </row>
    <row r="587" spans="15:15" x14ac:dyDescent="0.25">
      <c r="O587" s="3"/>
    </row>
    <row r="588" spans="15:15" x14ac:dyDescent="0.25">
      <c r="O588" s="3"/>
    </row>
    <row r="589" spans="15:15" x14ac:dyDescent="0.25">
      <c r="O589" s="3"/>
    </row>
    <row r="590" spans="15:15" x14ac:dyDescent="0.25">
      <c r="O590" s="3"/>
    </row>
    <row r="591" spans="15:15" x14ac:dyDescent="0.25">
      <c r="O591" s="3"/>
    </row>
    <row r="592" spans="15:15" x14ac:dyDescent="0.25">
      <c r="O592" s="3"/>
    </row>
    <row r="593" spans="15:15" x14ac:dyDescent="0.25">
      <c r="O593" s="3"/>
    </row>
    <row r="594" spans="15:15" x14ac:dyDescent="0.25">
      <c r="O594" s="3"/>
    </row>
    <row r="595" spans="15:15" x14ac:dyDescent="0.25">
      <c r="O595" s="3"/>
    </row>
    <row r="596" spans="15:15" x14ac:dyDescent="0.25">
      <c r="O596" s="3"/>
    </row>
    <row r="597" spans="15:15" x14ac:dyDescent="0.25">
      <c r="O597" s="3"/>
    </row>
    <row r="598" spans="15:15" x14ac:dyDescent="0.25">
      <c r="O598" s="3"/>
    </row>
    <row r="599" spans="15:15" x14ac:dyDescent="0.25">
      <c r="O599" s="3"/>
    </row>
    <row r="600" spans="15:15" x14ac:dyDescent="0.25">
      <c r="O600" s="3"/>
    </row>
    <row r="601" spans="15:15" x14ac:dyDescent="0.25">
      <c r="O601" s="3"/>
    </row>
    <row r="602" spans="15:15" x14ac:dyDescent="0.25">
      <c r="O602" s="3"/>
    </row>
    <row r="603" spans="15:15" x14ac:dyDescent="0.25">
      <c r="O603" s="3"/>
    </row>
    <row r="604" spans="15:15" x14ac:dyDescent="0.25">
      <c r="O604" s="3"/>
    </row>
    <row r="605" spans="15:15" x14ac:dyDescent="0.25">
      <c r="O605" s="3"/>
    </row>
    <row r="606" spans="15:15" x14ac:dyDescent="0.25">
      <c r="O606" s="3"/>
    </row>
    <row r="607" spans="15:15" x14ac:dyDescent="0.25">
      <c r="O607" s="3"/>
    </row>
    <row r="608" spans="15:15" x14ac:dyDescent="0.25">
      <c r="O608" s="3"/>
    </row>
    <row r="609" spans="15:15" x14ac:dyDescent="0.25">
      <c r="O609" s="3"/>
    </row>
    <row r="610" spans="15:15" x14ac:dyDescent="0.25">
      <c r="O610" s="3"/>
    </row>
    <row r="611" spans="15:15" x14ac:dyDescent="0.25">
      <c r="O611" s="3"/>
    </row>
    <row r="612" spans="15:15" x14ac:dyDescent="0.25">
      <c r="O612" s="3"/>
    </row>
    <row r="613" spans="15:15" x14ac:dyDescent="0.25">
      <c r="O613" s="3"/>
    </row>
    <row r="614" spans="15:15" x14ac:dyDescent="0.25">
      <c r="O614" s="3"/>
    </row>
    <row r="615" spans="15:15" x14ac:dyDescent="0.25">
      <c r="O615" s="3"/>
    </row>
    <row r="616" spans="15:15" x14ac:dyDescent="0.25">
      <c r="O616" s="3"/>
    </row>
    <row r="617" spans="15:15" x14ac:dyDescent="0.25">
      <c r="O617" s="3"/>
    </row>
    <row r="618" spans="15:15" x14ac:dyDescent="0.25">
      <c r="O618" s="3"/>
    </row>
    <row r="619" spans="15:15" x14ac:dyDescent="0.25">
      <c r="O619" s="3"/>
    </row>
    <row r="620" spans="15:15" x14ac:dyDescent="0.25">
      <c r="O620" s="3"/>
    </row>
    <row r="621" spans="15:15" x14ac:dyDescent="0.25">
      <c r="O621" s="3"/>
    </row>
    <row r="622" spans="15:15" x14ac:dyDescent="0.25">
      <c r="O622" s="3"/>
    </row>
    <row r="623" spans="15:15" x14ac:dyDescent="0.25">
      <c r="O623" s="3"/>
    </row>
    <row r="624" spans="15:15" x14ac:dyDescent="0.25">
      <c r="O624" s="3"/>
    </row>
    <row r="625" spans="15:15" x14ac:dyDescent="0.25">
      <c r="O625" s="3"/>
    </row>
    <row r="626" spans="15:15" x14ac:dyDescent="0.25">
      <c r="O626" s="3"/>
    </row>
    <row r="627" spans="15:15" x14ac:dyDescent="0.25">
      <c r="O627" s="3"/>
    </row>
    <row r="628" spans="15:15" x14ac:dyDescent="0.25">
      <c r="O628" s="3"/>
    </row>
    <row r="629" spans="15:15" x14ac:dyDescent="0.25">
      <c r="O629" s="3"/>
    </row>
    <row r="630" spans="15:15" x14ac:dyDescent="0.25">
      <c r="O630" s="3"/>
    </row>
    <row r="631" spans="15:15" x14ac:dyDescent="0.25">
      <c r="O631" s="3"/>
    </row>
    <row r="632" spans="15:15" x14ac:dyDescent="0.25">
      <c r="O632" s="3"/>
    </row>
    <row r="633" spans="15:15" x14ac:dyDescent="0.25">
      <c r="O633" s="3"/>
    </row>
    <row r="634" spans="15:15" x14ac:dyDescent="0.25">
      <c r="O634" s="3"/>
    </row>
    <row r="635" spans="15:15" x14ac:dyDescent="0.25">
      <c r="O635" s="3"/>
    </row>
    <row r="636" spans="15:15" x14ac:dyDescent="0.25">
      <c r="O636" s="3"/>
    </row>
    <row r="637" spans="15:15" x14ac:dyDescent="0.25">
      <c r="O637" s="3"/>
    </row>
    <row r="638" spans="15:15" x14ac:dyDescent="0.25">
      <c r="O638" s="3"/>
    </row>
    <row r="639" spans="15:15" x14ac:dyDescent="0.25">
      <c r="O639" s="3"/>
    </row>
    <row r="640" spans="15:15" x14ac:dyDescent="0.25">
      <c r="O640" s="3"/>
    </row>
    <row r="641" spans="15:15" x14ac:dyDescent="0.25">
      <c r="O641" s="3"/>
    </row>
    <row r="642" spans="15:15" x14ac:dyDescent="0.25">
      <c r="O642" s="3"/>
    </row>
    <row r="643" spans="15:15" x14ac:dyDescent="0.25">
      <c r="O643" s="3"/>
    </row>
    <row r="644" spans="15:15" x14ac:dyDescent="0.25">
      <c r="O644" s="3"/>
    </row>
    <row r="645" spans="15:15" x14ac:dyDescent="0.25">
      <c r="O645" s="3"/>
    </row>
    <row r="646" spans="15:15" x14ac:dyDescent="0.25">
      <c r="O646" s="3"/>
    </row>
    <row r="647" spans="15:15" x14ac:dyDescent="0.25">
      <c r="O647" s="3"/>
    </row>
    <row r="648" spans="15:15" x14ac:dyDescent="0.25">
      <c r="O648" s="3"/>
    </row>
    <row r="649" spans="15:15" x14ac:dyDescent="0.25">
      <c r="O649" s="3"/>
    </row>
    <row r="650" spans="15:15" x14ac:dyDescent="0.25">
      <c r="O650" s="3"/>
    </row>
    <row r="651" spans="15:15" x14ac:dyDescent="0.25">
      <c r="O651" s="3"/>
    </row>
    <row r="652" spans="15:15" x14ac:dyDescent="0.25">
      <c r="O652" s="3"/>
    </row>
    <row r="653" spans="15:15" x14ac:dyDescent="0.25">
      <c r="O653" s="3"/>
    </row>
    <row r="654" spans="15:15" x14ac:dyDescent="0.25">
      <c r="O654" s="3"/>
    </row>
    <row r="655" spans="15:15" x14ac:dyDescent="0.25">
      <c r="O655" s="3"/>
    </row>
    <row r="656" spans="15:15" x14ac:dyDescent="0.25">
      <c r="O656" s="3"/>
    </row>
    <row r="657" spans="15:15" x14ac:dyDescent="0.25">
      <c r="O657" s="3"/>
    </row>
    <row r="658" spans="15:15" x14ac:dyDescent="0.25">
      <c r="O658" s="3"/>
    </row>
    <row r="659" spans="15:15" x14ac:dyDescent="0.25">
      <c r="O659" s="3"/>
    </row>
    <row r="660" spans="15:15" x14ac:dyDescent="0.25">
      <c r="O660" s="3"/>
    </row>
    <row r="661" spans="15:15" x14ac:dyDescent="0.25">
      <c r="O661" s="3"/>
    </row>
    <row r="662" spans="15:15" x14ac:dyDescent="0.25">
      <c r="O662" s="3"/>
    </row>
    <row r="663" spans="15:15" x14ac:dyDescent="0.25">
      <c r="O663" s="3"/>
    </row>
    <row r="664" spans="15:15" x14ac:dyDescent="0.25">
      <c r="O664" s="3"/>
    </row>
    <row r="665" spans="15:15" x14ac:dyDescent="0.25">
      <c r="O665" s="3"/>
    </row>
    <row r="666" spans="15:15" x14ac:dyDescent="0.25">
      <c r="O666" s="3"/>
    </row>
    <row r="667" spans="15:15" x14ac:dyDescent="0.25">
      <c r="O667" s="3"/>
    </row>
    <row r="668" spans="15:15" x14ac:dyDescent="0.25">
      <c r="O668" s="3"/>
    </row>
    <row r="669" spans="15:15" x14ac:dyDescent="0.25">
      <c r="O669" s="3"/>
    </row>
    <row r="670" spans="15:15" x14ac:dyDescent="0.25">
      <c r="O670" s="3"/>
    </row>
    <row r="671" spans="15:15" x14ac:dyDescent="0.25">
      <c r="O671" s="3"/>
    </row>
    <row r="672" spans="15:15" x14ac:dyDescent="0.25">
      <c r="O672" s="3"/>
    </row>
    <row r="673" spans="15:15" x14ac:dyDescent="0.25">
      <c r="O673" s="3"/>
    </row>
    <row r="674" spans="15:15" x14ac:dyDescent="0.25">
      <c r="O674" s="3"/>
    </row>
    <row r="675" spans="15:15" x14ac:dyDescent="0.25">
      <c r="O675" s="3"/>
    </row>
    <row r="676" spans="15:15" x14ac:dyDescent="0.25">
      <c r="O676" s="3"/>
    </row>
    <row r="677" spans="15:15" x14ac:dyDescent="0.25">
      <c r="O677" s="3"/>
    </row>
    <row r="678" spans="15:15" x14ac:dyDescent="0.25">
      <c r="O678" s="3"/>
    </row>
    <row r="679" spans="15:15" x14ac:dyDescent="0.25">
      <c r="O679" s="3"/>
    </row>
    <row r="680" spans="15:15" x14ac:dyDescent="0.25">
      <c r="O680" s="3"/>
    </row>
    <row r="681" spans="15:15" x14ac:dyDescent="0.25">
      <c r="O681" s="3"/>
    </row>
    <row r="682" spans="15:15" x14ac:dyDescent="0.25">
      <c r="O682" s="3"/>
    </row>
    <row r="683" spans="15:15" x14ac:dyDescent="0.25">
      <c r="O683" s="3"/>
    </row>
    <row r="684" spans="15:15" x14ac:dyDescent="0.25">
      <c r="O684" s="3"/>
    </row>
    <row r="685" spans="15:15" x14ac:dyDescent="0.25">
      <c r="O685" s="3"/>
    </row>
    <row r="686" spans="15:15" x14ac:dyDescent="0.25">
      <c r="O686" s="3"/>
    </row>
    <row r="687" spans="15:15" x14ac:dyDescent="0.25">
      <c r="O687" s="3"/>
    </row>
    <row r="688" spans="15:15" x14ac:dyDescent="0.25">
      <c r="O688" s="3"/>
    </row>
    <row r="689" spans="15:15" x14ac:dyDescent="0.25">
      <c r="O689" s="3"/>
    </row>
    <row r="690" spans="15:15" x14ac:dyDescent="0.25">
      <c r="O690" s="3"/>
    </row>
    <row r="691" spans="15:15" x14ac:dyDescent="0.25">
      <c r="O691" s="3"/>
    </row>
    <row r="692" spans="15:15" x14ac:dyDescent="0.25">
      <c r="O692" s="3"/>
    </row>
    <row r="693" spans="15:15" x14ac:dyDescent="0.25">
      <c r="O693" s="3"/>
    </row>
    <row r="694" spans="15:15" x14ac:dyDescent="0.25">
      <c r="O694" s="3"/>
    </row>
    <row r="695" spans="15:15" x14ac:dyDescent="0.25">
      <c r="O695" s="3"/>
    </row>
    <row r="696" spans="15:15" x14ac:dyDescent="0.25">
      <c r="O696" s="3"/>
    </row>
    <row r="697" spans="15:15" x14ac:dyDescent="0.25">
      <c r="O697" s="3"/>
    </row>
    <row r="698" spans="15:15" x14ac:dyDescent="0.25">
      <c r="O698" s="3"/>
    </row>
    <row r="699" spans="15:15" x14ac:dyDescent="0.25">
      <c r="O699" s="3"/>
    </row>
    <row r="700" spans="15:15" x14ac:dyDescent="0.25">
      <c r="O700" s="3"/>
    </row>
    <row r="701" spans="15:15" x14ac:dyDescent="0.25">
      <c r="O701" s="3"/>
    </row>
    <row r="702" spans="15:15" x14ac:dyDescent="0.25">
      <c r="O702" s="3"/>
    </row>
    <row r="703" spans="15:15" x14ac:dyDescent="0.25">
      <c r="O703" s="3"/>
    </row>
    <row r="704" spans="15:15" x14ac:dyDescent="0.25">
      <c r="O704" s="3"/>
    </row>
    <row r="705" spans="15:15" x14ac:dyDescent="0.25">
      <c r="O705" s="3"/>
    </row>
    <row r="706" spans="15:15" x14ac:dyDescent="0.25">
      <c r="O706" s="3"/>
    </row>
    <row r="707" spans="15:15" x14ac:dyDescent="0.25">
      <c r="O707" s="3"/>
    </row>
    <row r="708" spans="15:15" x14ac:dyDescent="0.25">
      <c r="O708" s="3"/>
    </row>
    <row r="709" spans="15:15" x14ac:dyDescent="0.25">
      <c r="O709" s="3"/>
    </row>
    <row r="710" spans="15:15" x14ac:dyDescent="0.25">
      <c r="O710" s="3"/>
    </row>
    <row r="711" spans="15:15" x14ac:dyDescent="0.25">
      <c r="O711" s="3"/>
    </row>
    <row r="712" spans="15:15" x14ac:dyDescent="0.25">
      <c r="O712" s="3"/>
    </row>
    <row r="713" spans="15:15" x14ac:dyDescent="0.25">
      <c r="O713" s="3"/>
    </row>
    <row r="714" spans="15:15" x14ac:dyDescent="0.25">
      <c r="O714" s="3"/>
    </row>
    <row r="715" spans="15:15" x14ac:dyDescent="0.25">
      <c r="O715" s="3"/>
    </row>
    <row r="716" spans="15:15" x14ac:dyDescent="0.25">
      <c r="O716" s="3"/>
    </row>
    <row r="717" spans="15:15" x14ac:dyDescent="0.25">
      <c r="O717" s="3"/>
    </row>
    <row r="718" spans="15:15" x14ac:dyDescent="0.25">
      <c r="O718" s="3"/>
    </row>
    <row r="719" spans="15:15" x14ac:dyDescent="0.25">
      <c r="O719" s="3"/>
    </row>
    <row r="720" spans="15:15" x14ac:dyDescent="0.25">
      <c r="O720" s="3"/>
    </row>
    <row r="721" spans="15:15" x14ac:dyDescent="0.25">
      <c r="O721" s="3"/>
    </row>
    <row r="722" spans="15:15" x14ac:dyDescent="0.25">
      <c r="O722" s="3"/>
    </row>
    <row r="723" spans="15:15" x14ac:dyDescent="0.25">
      <c r="O723" s="3"/>
    </row>
    <row r="724" spans="15:15" x14ac:dyDescent="0.25">
      <c r="O724" s="3"/>
    </row>
    <row r="725" spans="15:15" x14ac:dyDescent="0.25">
      <c r="O725" s="3"/>
    </row>
    <row r="726" spans="15:15" x14ac:dyDescent="0.25">
      <c r="O726" s="3"/>
    </row>
    <row r="727" spans="15:15" x14ac:dyDescent="0.25">
      <c r="O727" s="3"/>
    </row>
    <row r="728" spans="15:15" x14ac:dyDescent="0.25">
      <c r="O728" s="3"/>
    </row>
    <row r="729" spans="15:15" x14ac:dyDescent="0.25">
      <c r="O729" s="3"/>
    </row>
    <row r="730" spans="15:15" x14ac:dyDescent="0.25">
      <c r="O730" s="3"/>
    </row>
    <row r="731" spans="15:15" x14ac:dyDescent="0.25">
      <c r="O731" s="3"/>
    </row>
    <row r="732" spans="15:15" x14ac:dyDescent="0.25">
      <c r="O732" s="3"/>
    </row>
    <row r="733" spans="15:15" x14ac:dyDescent="0.25">
      <c r="O733" s="3"/>
    </row>
    <row r="734" spans="15:15" x14ac:dyDescent="0.25">
      <c r="O734" s="3"/>
    </row>
    <row r="735" spans="15:15" x14ac:dyDescent="0.25">
      <c r="O735" s="3"/>
    </row>
    <row r="736" spans="15:15" x14ac:dyDescent="0.25">
      <c r="O736" s="3"/>
    </row>
    <row r="737" spans="15:15" x14ac:dyDescent="0.25">
      <c r="O737" s="3"/>
    </row>
    <row r="738" spans="15:15" x14ac:dyDescent="0.25">
      <c r="O738" s="3"/>
    </row>
    <row r="739" spans="15:15" x14ac:dyDescent="0.25">
      <c r="O739" s="3"/>
    </row>
    <row r="740" spans="15:15" x14ac:dyDescent="0.25">
      <c r="O740" s="3"/>
    </row>
    <row r="741" spans="15:15" x14ac:dyDescent="0.25">
      <c r="O741" s="3"/>
    </row>
    <row r="742" spans="15:15" x14ac:dyDescent="0.25">
      <c r="O742" s="3"/>
    </row>
    <row r="743" spans="15:15" x14ac:dyDescent="0.25">
      <c r="O743" s="3"/>
    </row>
    <row r="744" spans="15:15" x14ac:dyDescent="0.25">
      <c r="O744" s="3"/>
    </row>
    <row r="745" spans="15:15" x14ac:dyDescent="0.25">
      <c r="O745" s="3"/>
    </row>
    <row r="746" spans="15:15" x14ac:dyDescent="0.25">
      <c r="O746" s="3"/>
    </row>
    <row r="747" spans="15:15" x14ac:dyDescent="0.25">
      <c r="O747" s="3"/>
    </row>
    <row r="748" spans="15:15" x14ac:dyDescent="0.25">
      <c r="O748" s="3"/>
    </row>
    <row r="749" spans="15:15" x14ac:dyDescent="0.25">
      <c r="O749" s="3"/>
    </row>
    <row r="750" spans="15:15" x14ac:dyDescent="0.25">
      <c r="O750" s="3"/>
    </row>
    <row r="751" spans="15:15" x14ac:dyDescent="0.25">
      <c r="O751" s="3"/>
    </row>
    <row r="752" spans="15:15" x14ac:dyDescent="0.25">
      <c r="O752" s="3"/>
    </row>
    <row r="753" spans="15:15" x14ac:dyDescent="0.25">
      <c r="O753" s="3"/>
    </row>
    <row r="754" spans="15:15" x14ac:dyDescent="0.25">
      <c r="O754" s="3"/>
    </row>
    <row r="755" spans="15:15" x14ac:dyDescent="0.25">
      <c r="O755" s="3"/>
    </row>
    <row r="756" spans="15:15" x14ac:dyDescent="0.25">
      <c r="O756" s="3"/>
    </row>
    <row r="757" spans="15:15" x14ac:dyDescent="0.25">
      <c r="O757" s="3"/>
    </row>
    <row r="758" spans="15:15" x14ac:dyDescent="0.25">
      <c r="O758" s="3"/>
    </row>
    <row r="759" spans="15:15" x14ac:dyDescent="0.25">
      <c r="O759" s="3"/>
    </row>
    <row r="760" spans="15:15" x14ac:dyDescent="0.25">
      <c r="O760" s="3"/>
    </row>
    <row r="761" spans="15:15" x14ac:dyDescent="0.25">
      <c r="O761" s="3"/>
    </row>
    <row r="762" spans="15:15" x14ac:dyDescent="0.25">
      <c r="O762" s="3"/>
    </row>
    <row r="763" spans="15:15" x14ac:dyDescent="0.25">
      <c r="O763" s="3"/>
    </row>
    <row r="764" spans="15:15" x14ac:dyDescent="0.25">
      <c r="O764" s="3"/>
    </row>
    <row r="765" spans="15:15" x14ac:dyDescent="0.25">
      <c r="O765" s="3"/>
    </row>
    <row r="766" spans="15:15" x14ac:dyDescent="0.25">
      <c r="O766" s="3"/>
    </row>
    <row r="767" spans="15:15" x14ac:dyDescent="0.25">
      <c r="O767" s="3"/>
    </row>
    <row r="768" spans="15:15" x14ac:dyDescent="0.25">
      <c r="O768" s="3"/>
    </row>
    <row r="769" spans="15:15" x14ac:dyDescent="0.25">
      <c r="O769" s="3"/>
    </row>
    <row r="770" spans="15:15" x14ac:dyDescent="0.25">
      <c r="O770" s="3"/>
    </row>
    <row r="771" spans="15:15" x14ac:dyDescent="0.25">
      <c r="O771" s="3"/>
    </row>
    <row r="772" spans="15:15" x14ac:dyDescent="0.25">
      <c r="O772" s="3"/>
    </row>
    <row r="773" spans="15:15" x14ac:dyDescent="0.25">
      <c r="O773" s="3"/>
    </row>
    <row r="774" spans="15:15" x14ac:dyDescent="0.25">
      <c r="O774" s="3"/>
    </row>
    <row r="775" spans="15:15" x14ac:dyDescent="0.25">
      <c r="O775" s="3"/>
    </row>
    <row r="776" spans="15:15" x14ac:dyDescent="0.25">
      <c r="O776" s="3"/>
    </row>
    <row r="777" spans="15:15" x14ac:dyDescent="0.25">
      <c r="O777" s="3"/>
    </row>
    <row r="778" spans="15:15" x14ac:dyDescent="0.25">
      <c r="O778" s="3"/>
    </row>
    <row r="779" spans="15:15" x14ac:dyDescent="0.25">
      <c r="O779" s="3"/>
    </row>
    <row r="780" spans="15:15" x14ac:dyDescent="0.25">
      <c r="O780" s="3"/>
    </row>
    <row r="781" spans="15:15" x14ac:dyDescent="0.25">
      <c r="O781" s="3"/>
    </row>
    <row r="782" spans="15:15" x14ac:dyDescent="0.25">
      <c r="O782" s="3"/>
    </row>
    <row r="783" spans="15:15" x14ac:dyDescent="0.25">
      <c r="O783" s="3"/>
    </row>
    <row r="784" spans="15:15" x14ac:dyDescent="0.25">
      <c r="O784" s="3"/>
    </row>
    <row r="785" spans="15:15" x14ac:dyDescent="0.25">
      <c r="O785" s="3"/>
    </row>
    <row r="786" spans="15:15" x14ac:dyDescent="0.25">
      <c r="O786" s="3"/>
    </row>
    <row r="787" spans="15:15" x14ac:dyDescent="0.25">
      <c r="O787" s="3"/>
    </row>
    <row r="788" spans="15:15" x14ac:dyDescent="0.25">
      <c r="O788" s="3"/>
    </row>
    <row r="789" spans="15:15" x14ac:dyDescent="0.25">
      <c r="O789" s="3"/>
    </row>
    <row r="790" spans="15:15" x14ac:dyDescent="0.25">
      <c r="O790" s="3"/>
    </row>
    <row r="791" spans="15:15" x14ac:dyDescent="0.25">
      <c r="O791" s="3"/>
    </row>
    <row r="792" spans="15:15" x14ac:dyDescent="0.25">
      <c r="O792" s="3"/>
    </row>
    <row r="793" spans="15:15" x14ac:dyDescent="0.25">
      <c r="O793" s="3"/>
    </row>
    <row r="794" spans="15:15" x14ac:dyDescent="0.25">
      <c r="O794" s="3"/>
    </row>
    <row r="795" spans="15:15" x14ac:dyDescent="0.25">
      <c r="O795" s="3"/>
    </row>
    <row r="796" spans="15:15" x14ac:dyDescent="0.25">
      <c r="O796" s="3"/>
    </row>
    <row r="797" spans="15:15" x14ac:dyDescent="0.25">
      <c r="O797" s="3"/>
    </row>
    <row r="798" spans="15:15" x14ac:dyDescent="0.25">
      <c r="O798" s="3"/>
    </row>
    <row r="799" spans="15:15" x14ac:dyDescent="0.25">
      <c r="O799" s="3"/>
    </row>
    <row r="800" spans="15:15" x14ac:dyDescent="0.25">
      <c r="O800" s="3"/>
    </row>
    <row r="801" spans="15:15" x14ac:dyDescent="0.25">
      <c r="O801" s="3"/>
    </row>
    <row r="802" spans="15:15" x14ac:dyDescent="0.25">
      <c r="O802" s="3"/>
    </row>
    <row r="803" spans="15:15" x14ac:dyDescent="0.25">
      <c r="O803" s="3"/>
    </row>
    <row r="804" spans="15:15" x14ac:dyDescent="0.25">
      <c r="O804" s="3"/>
    </row>
    <row r="805" spans="15:15" x14ac:dyDescent="0.25">
      <c r="O805" s="3"/>
    </row>
    <row r="806" spans="15:15" x14ac:dyDescent="0.25">
      <c r="O806" s="3"/>
    </row>
    <row r="807" spans="15:15" x14ac:dyDescent="0.25">
      <c r="O807" s="3"/>
    </row>
    <row r="808" spans="15:15" x14ac:dyDescent="0.25">
      <c r="O808" s="3"/>
    </row>
    <row r="809" spans="15:15" x14ac:dyDescent="0.25">
      <c r="O809" s="3"/>
    </row>
    <row r="810" spans="15:15" x14ac:dyDescent="0.25">
      <c r="O810" s="3"/>
    </row>
    <row r="811" spans="15:15" x14ac:dyDescent="0.25">
      <c r="O811" s="3"/>
    </row>
    <row r="812" spans="15:15" x14ac:dyDescent="0.25">
      <c r="O812" s="3"/>
    </row>
    <row r="813" spans="15:15" x14ac:dyDescent="0.25">
      <c r="O813" s="3"/>
    </row>
    <row r="814" spans="15:15" x14ac:dyDescent="0.25">
      <c r="O814" s="3"/>
    </row>
    <row r="815" spans="15:15" x14ac:dyDescent="0.25">
      <c r="O815" s="3"/>
    </row>
    <row r="816" spans="15:15" x14ac:dyDescent="0.25">
      <c r="O816" s="3"/>
    </row>
    <row r="817" spans="15:15" x14ac:dyDescent="0.25">
      <c r="O817" s="3"/>
    </row>
    <row r="818" spans="15:15" x14ac:dyDescent="0.25">
      <c r="O818" s="3"/>
    </row>
    <row r="819" spans="15:15" x14ac:dyDescent="0.25">
      <c r="O819" s="3"/>
    </row>
    <row r="820" spans="15:15" x14ac:dyDescent="0.25">
      <c r="O820" s="3"/>
    </row>
    <row r="821" spans="15:15" x14ac:dyDescent="0.25">
      <c r="O821" s="3"/>
    </row>
    <row r="822" spans="15:15" x14ac:dyDescent="0.25">
      <c r="O822" s="3"/>
    </row>
    <row r="823" spans="15:15" x14ac:dyDescent="0.25">
      <c r="O823" s="3"/>
    </row>
    <row r="824" spans="15:15" x14ac:dyDescent="0.25">
      <c r="O824" s="3"/>
    </row>
    <row r="825" spans="15:15" x14ac:dyDescent="0.25">
      <c r="O825" s="3"/>
    </row>
    <row r="826" spans="15:15" x14ac:dyDescent="0.25">
      <c r="O826" s="3"/>
    </row>
    <row r="827" spans="15:15" x14ac:dyDescent="0.25">
      <c r="O827" s="3"/>
    </row>
    <row r="828" spans="15:15" x14ac:dyDescent="0.25">
      <c r="O828" s="3"/>
    </row>
    <row r="829" spans="15:15" x14ac:dyDescent="0.25">
      <c r="O829" s="3"/>
    </row>
    <row r="830" spans="15:15" x14ac:dyDescent="0.25">
      <c r="O830" s="3"/>
    </row>
    <row r="831" spans="15:15" x14ac:dyDescent="0.25">
      <c r="O831" s="3"/>
    </row>
    <row r="832" spans="15:15" x14ac:dyDescent="0.25">
      <c r="O832" s="3"/>
    </row>
    <row r="833" spans="15:15" x14ac:dyDescent="0.25">
      <c r="O833" s="3"/>
    </row>
    <row r="834" spans="15:15" x14ac:dyDescent="0.25">
      <c r="O834" s="3"/>
    </row>
    <row r="835" spans="15:15" x14ac:dyDescent="0.25">
      <c r="O835" s="3"/>
    </row>
    <row r="836" spans="15:15" x14ac:dyDescent="0.25">
      <c r="O836" s="3"/>
    </row>
    <row r="837" spans="15:15" x14ac:dyDescent="0.25">
      <c r="O837" s="3"/>
    </row>
    <row r="838" spans="15:15" x14ac:dyDescent="0.25">
      <c r="O838" s="3"/>
    </row>
    <row r="839" spans="15:15" x14ac:dyDescent="0.25">
      <c r="O839" s="3"/>
    </row>
    <row r="840" spans="15:15" x14ac:dyDescent="0.25">
      <c r="O840" s="3"/>
    </row>
    <row r="841" spans="15:15" x14ac:dyDescent="0.25">
      <c r="O841" s="3"/>
    </row>
    <row r="842" spans="15:15" x14ac:dyDescent="0.25">
      <c r="O842" s="3"/>
    </row>
    <row r="843" spans="15:15" x14ac:dyDescent="0.25">
      <c r="O843" s="3"/>
    </row>
    <row r="844" spans="15:15" x14ac:dyDescent="0.25">
      <c r="O844" s="3"/>
    </row>
    <row r="845" spans="15:15" x14ac:dyDescent="0.25">
      <c r="O845" s="3"/>
    </row>
    <row r="846" spans="15:15" x14ac:dyDescent="0.25">
      <c r="O846" s="3"/>
    </row>
    <row r="847" spans="15:15" x14ac:dyDescent="0.25">
      <c r="O847" s="3"/>
    </row>
    <row r="848" spans="15:15" x14ac:dyDescent="0.25">
      <c r="O848" s="3"/>
    </row>
    <row r="849" spans="15:15" x14ac:dyDescent="0.25">
      <c r="O849" s="3"/>
    </row>
    <row r="850" spans="15:15" x14ac:dyDescent="0.25">
      <c r="O850" s="3"/>
    </row>
    <row r="851" spans="15:15" x14ac:dyDescent="0.25">
      <c r="O851" s="3"/>
    </row>
    <row r="852" spans="15:15" x14ac:dyDescent="0.25">
      <c r="O852" s="3"/>
    </row>
    <row r="853" spans="15:15" x14ac:dyDescent="0.25">
      <c r="O853" s="3"/>
    </row>
    <row r="854" spans="15:15" x14ac:dyDescent="0.25">
      <c r="O854" s="3"/>
    </row>
    <row r="855" spans="15:15" x14ac:dyDescent="0.25">
      <c r="O855" s="3"/>
    </row>
    <row r="856" spans="15:15" x14ac:dyDescent="0.25">
      <c r="O856" s="3"/>
    </row>
    <row r="857" spans="15:15" x14ac:dyDescent="0.25">
      <c r="O857" s="3"/>
    </row>
    <row r="858" spans="15:15" x14ac:dyDescent="0.25">
      <c r="O858" s="3"/>
    </row>
    <row r="859" spans="15:15" x14ac:dyDescent="0.25">
      <c r="O859" s="3"/>
    </row>
    <row r="860" spans="15:15" x14ac:dyDescent="0.25">
      <c r="O860" s="3"/>
    </row>
    <row r="861" spans="15:15" x14ac:dyDescent="0.25">
      <c r="O861" s="3"/>
    </row>
    <row r="862" spans="15:15" x14ac:dyDescent="0.25">
      <c r="O862" s="3"/>
    </row>
    <row r="863" spans="15:15" x14ac:dyDescent="0.25">
      <c r="O863" s="3"/>
    </row>
    <row r="864" spans="15:15" x14ac:dyDescent="0.25">
      <c r="O864" s="3"/>
    </row>
    <row r="865" spans="15:15" x14ac:dyDescent="0.25">
      <c r="O865" s="3"/>
    </row>
    <row r="866" spans="15:15" x14ac:dyDescent="0.25">
      <c r="O866" s="3"/>
    </row>
    <row r="867" spans="15:15" x14ac:dyDescent="0.25">
      <c r="O867" s="3"/>
    </row>
    <row r="868" spans="15:15" x14ac:dyDescent="0.25">
      <c r="O868" s="3"/>
    </row>
    <row r="869" spans="15:15" x14ac:dyDescent="0.25">
      <c r="O869" s="3"/>
    </row>
    <row r="870" spans="15:15" x14ac:dyDescent="0.25">
      <c r="O870" s="3"/>
    </row>
    <row r="871" spans="15:15" x14ac:dyDescent="0.25">
      <c r="O871" s="3"/>
    </row>
    <row r="872" spans="15:15" x14ac:dyDescent="0.25">
      <c r="O872" s="3"/>
    </row>
    <row r="873" spans="15:15" x14ac:dyDescent="0.25">
      <c r="O873" s="3"/>
    </row>
    <row r="874" spans="15:15" x14ac:dyDescent="0.25">
      <c r="O874" s="3"/>
    </row>
    <row r="875" spans="15:15" x14ac:dyDescent="0.25">
      <c r="O875" s="3"/>
    </row>
    <row r="876" spans="15:15" x14ac:dyDescent="0.25">
      <c r="O876" s="3"/>
    </row>
    <row r="877" spans="15:15" x14ac:dyDescent="0.25">
      <c r="O877" s="3"/>
    </row>
    <row r="878" spans="15:15" x14ac:dyDescent="0.25">
      <c r="O878" s="3"/>
    </row>
    <row r="879" spans="15:15" x14ac:dyDescent="0.25">
      <c r="O879" s="3"/>
    </row>
    <row r="880" spans="15:15" x14ac:dyDescent="0.25">
      <c r="O880" s="3"/>
    </row>
    <row r="881" spans="15:15" x14ac:dyDescent="0.25">
      <c r="O881" s="3"/>
    </row>
    <row r="882" spans="15:15" x14ac:dyDescent="0.25">
      <c r="O882" s="3"/>
    </row>
    <row r="883" spans="15:15" x14ac:dyDescent="0.25">
      <c r="O883" s="3"/>
    </row>
    <row r="884" spans="15:15" x14ac:dyDescent="0.25">
      <c r="O884" s="3"/>
    </row>
    <row r="885" spans="15:15" x14ac:dyDescent="0.25">
      <c r="O885" s="3"/>
    </row>
    <row r="886" spans="15:15" x14ac:dyDescent="0.25">
      <c r="O886" s="3"/>
    </row>
    <row r="887" spans="15:15" x14ac:dyDescent="0.25">
      <c r="O887" s="3"/>
    </row>
    <row r="888" spans="15:15" x14ac:dyDescent="0.25">
      <c r="O888" s="3"/>
    </row>
    <row r="889" spans="15:15" x14ac:dyDescent="0.25">
      <c r="O889" s="3"/>
    </row>
    <row r="890" spans="15:15" x14ac:dyDescent="0.25">
      <c r="O890" s="3"/>
    </row>
    <row r="891" spans="15:15" x14ac:dyDescent="0.25">
      <c r="O891" s="3"/>
    </row>
    <row r="892" spans="15:15" x14ac:dyDescent="0.25">
      <c r="O892" s="3"/>
    </row>
    <row r="893" spans="15:15" x14ac:dyDescent="0.25">
      <c r="O893" s="3"/>
    </row>
    <row r="894" spans="15:15" x14ac:dyDescent="0.25">
      <c r="O894" s="3"/>
    </row>
    <row r="895" spans="15:15" x14ac:dyDescent="0.25">
      <c r="O895" s="3"/>
    </row>
    <row r="896" spans="15:15" x14ac:dyDescent="0.25">
      <c r="O896" s="3"/>
    </row>
    <row r="897" spans="15:15" x14ac:dyDescent="0.25">
      <c r="O897" s="3"/>
    </row>
    <row r="898" spans="15:15" x14ac:dyDescent="0.25">
      <c r="O898" s="3"/>
    </row>
    <row r="899" spans="15:15" x14ac:dyDescent="0.25">
      <c r="O899" s="3"/>
    </row>
    <row r="900" spans="15:15" x14ac:dyDescent="0.25">
      <c r="O900" s="3"/>
    </row>
    <row r="901" spans="15:15" x14ac:dyDescent="0.25">
      <c r="O901" s="3"/>
    </row>
    <row r="902" spans="15:15" x14ac:dyDescent="0.25">
      <c r="O902" s="3"/>
    </row>
    <row r="903" spans="15:15" x14ac:dyDescent="0.25">
      <c r="O903" s="3"/>
    </row>
    <row r="904" spans="15:15" x14ac:dyDescent="0.25">
      <c r="O904" s="3"/>
    </row>
    <row r="905" spans="15:15" x14ac:dyDescent="0.25">
      <c r="O905" s="3"/>
    </row>
    <row r="906" spans="15:15" x14ac:dyDescent="0.25">
      <c r="O906" s="3"/>
    </row>
    <row r="907" spans="15:15" x14ac:dyDescent="0.25">
      <c r="O907" s="3"/>
    </row>
    <row r="908" spans="15:15" x14ac:dyDescent="0.25">
      <c r="O908" s="3"/>
    </row>
    <row r="909" spans="15:15" x14ac:dyDescent="0.25">
      <c r="O909" s="3"/>
    </row>
    <row r="910" spans="15:15" x14ac:dyDescent="0.25">
      <c r="O910" s="3"/>
    </row>
    <row r="911" spans="15:15" x14ac:dyDescent="0.25">
      <c r="O911" s="3"/>
    </row>
    <row r="912" spans="15:15" x14ac:dyDescent="0.25">
      <c r="O912" s="3"/>
    </row>
    <row r="913" spans="15:15" x14ac:dyDescent="0.25">
      <c r="O913" s="3"/>
    </row>
    <row r="914" spans="15:15" x14ac:dyDescent="0.25">
      <c r="O914" s="3"/>
    </row>
    <row r="915" spans="15:15" x14ac:dyDescent="0.25">
      <c r="O915" s="3"/>
    </row>
    <row r="916" spans="15:15" x14ac:dyDescent="0.25">
      <c r="O916" s="3"/>
    </row>
    <row r="917" spans="15:15" x14ac:dyDescent="0.25">
      <c r="O917" s="3"/>
    </row>
    <row r="918" spans="15:15" x14ac:dyDescent="0.25">
      <c r="O918" s="3"/>
    </row>
    <row r="919" spans="15:15" x14ac:dyDescent="0.25">
      <c r="O919" s="3"/>
    </row>
    <row r="920" spans="15:15" x14ac:dyDescent="0.25">
      <c r="O920" s="3"/>
    </row>
    <row r="921" spans="15:15" x14ac:dyDescent="0.25">
      <c r="O921" s="3"/>
    </row>
    <row r="922" spans="15:15" x14ac:dyDescent="0.25">
      <c r="O922" s="3"/>
    </row>
    <row r="923" spans="15:15" x14ac:dyDescent="0.25">
      <c r="O923" s="3"/>
    </row>
    <row r="924" spans="15:15" x14ac:dyDescent="0.25">
      <c r="O924" s="3"/>
    </row>
    <row r="925" spans="15:15" x14ac:dyDescent="0.25">
      <c r="O925" s="3"/>
    </row>
    <row r="926" spans="15:15" x14ac:dyDescent="0.25">
      <c r="O926" s="3"/>
    </row>
    <row r="927" spans="15:15" x14ac:dyDescent="0.25">
      <c r="O927" s="3"/>
    </row>
    <row r="928" spans="15:15" x14ac:dyDescent="0.25">
      <c r="O928" s="3"/>
    </row>
    <row r="929" spans="15:15" x14ac:dyDescent="0.25">
      <c r="O929" s="3"/>
    </row>
    <row r="930" spans="15:15" x14ac:dyDescent="0.25">
      <c r="O930" s="3"/>
    </row>
    <row r="931" spans="15:15" x14ac:dyDescent="0.25">
      <c r="O931" s="3"/>
    </row>
    <row r="932" spans="15:15" x14ac:dyDescent="0.25">
      <c r="O932" s="3"/>
    </row>
    <row r="933" spans="15:15" x14ac:dyDescent="0.25">
      <c r="O933" s="3"/>
    </row>
    <row r="934" spans="15:15" x14ac:dyDescent="0.25">
      <c r="O934" s="3"/>
    </row>
    <row r="935" spans="15:15" x14ac:dyDescent="0.25">
      <c r="O935" s="3"/>
    </row>
    <row r="936" spans="15:15" x14ac:dyDescent="0.25">
      <c r="O936" s="3"/>
    </row>
    <row r="937" spans="15:15" x14ac:dyDescent="0.25">
      <c r="O937" s="3"/>
    </row>
    <row r="938" spans="15:15" x14ac:dyDescent="0.25">
      <c r="O938" s="3"/>
    </row>
    <row r="939" spans="15:15" x14ac:dyDescent="0.25">
      <c r="O939" s="3"/>
    </row>
    <row r="940" spans="15:15" x14ac:dyDescent="0.25">
      <c r="O940" s="3"/>
    </row>
    <row r="941" spans="15:15" x14ac:dyDescent="0.25">
      <c r="O941" s="3"/>
    </row>
    <row r="942" spans="15:15" x14ac:dyDescent="0.25">
      <c r="O942" s="3"/>
    </row>
    <row r="943" spans="15:15" x14ac:dyDescent="0.25">
      <c r="O943" s="3"/>
    </row>
    <row r="944" spans="15:15" x14ac:dyDescent="0.25">
      <c r="O944" s="3"/>
    </row>
    <row r="945" spans="15:15" x14ac:dyDescent="0.25">
      <c r="O945" s="3"/>
    </row>
    <row r="946" spans="15:15" x14ac:dyDescent="0.25">
      <c r="O946" s="3"/>
    </row>
    <row r="947" spans="15:15" x14ac:dyDescent="0.25">
      <c r="O947" s="3"/>
    </row>
    <row r="948" spans="15:15" x14ac:dyDescent="0.25">
      <c r="O948" s="3"/>
    </row>
    <row r="949" spans="15:15" x14ac:dyDescent="0.25">
      <c r="O949" s="3"/>
    </row>
    <row r="950" spans="15:15" x14ac:dyDescent="0.25">
      <c r="O950" s="3"/>
    </row>
    <row r="951" spans="15:15" x14ac:dyDescent="0.25">
      <c r="O951" s="3"/>
    </row>
    <row r="952" spans="15:15" x14ac:dyDescent="0.25">
      <c r="O952" s="3"/>
    </row>
    <row r="953" spans="15:15" x14ac:dyDescent="0.25">
      <c r="O953" s="3"/>
    </row>
    <row r="954" spans="15:15" x14ac:dyDescent="0.25">
      <c r="O954" s="3"/>
    </row>
    <row r="955" spans="15:15" x14ac:dyDescent="0.25">
      <c r="O955" s="3"/>
    </row>
    <row r="956" spans="15:15" x14ac:dyDescent="0.25">
      <c r="O956" s="3"/>
    </row>
    <row r="957" spans="15:15" x14ac:dyDescent="0.25">
      <c r="O957" s="3"/>
    </row>
    <row r="958" spans="15:15" x14ac:dyDescent="0.25">
      <c r="O958" s="3"/>
    </row>
    <row r="959" spans="15:15" x14ac:dyDescent="0.25">
      <c r="O959" s="3"/>
    </row>
    <row r="960" spans="15:15" x14ac:dyDescent="0.25">
      <c r="O960" s="3"/>
    </row>
    <row r="961" spans="15:15" x14ac:dyDescent="0.25">
      <c r="O961" s="3"/>
    </row>
    <row r="962" spans="15:15" x14ac:dyDescent="0.25">
      <c r="O962" s="3"/>
    </row>
    <row r="963" spans="15:15" x14ac:dyDescent="0.25">
      <c r="O963" s="3"/>
    </row>
    <row r="964" spans="15:15" x14ac:dyDescent="0.25">
      <c r="O964" s="3"/>
    </row>
    <row r="965" spans="15:15" x14ac:dyDescent="0.25">
      <c r="O965" s="3"/>
    </row>
    <row r="966" spans="15:15" x14ac:dyDescent="0.25">
      <c r="O966" s="3"/>
    </row>
    <row r="967" spans="15:15" x14ac:dyDescent="0.25">
      <c r="O967" s="3"/>
    </row>
    <row r="968" spans="15:15" x14ac:dyDescent="0.25">
      <c r="O968" s="3"/>
    </row>
    <row r="969" spans="15:15" x14ac:dyDescent="0.25">
      <c r="O969" s="3"/>
    </row>
    <row r="970" spans="15:15" x14ac:dyDescent="0.25">
      <c r="O970" s="3"/>
    </row>
    <row r="971" spans="15:15" x14ac:dyDescent="0.25">
      <c r="O971" s="3"/>
    </row>
    <row r="972" spans="15:15" x14ac:dyDescent="0.25">
      <c r="O972" s="3"/>
    </row>
    <row r="973" spans="15:15" x14ac:dyDescent="0.25">
      <c r="O973" s="3"/>
    </row>
    <row r="974" spans="15:15" x14ac:dyDescent="0.25">
      <c r="O974" s="3"/>
    </row>
    <row r="975" spans="15:15" x14ac:dyDescent="0.25">
      <c r="O975" s="3"/>
    </row>
    <row r="976" spans="15:15" x14ac:dyDescent="0.25">
      <c r="O976" s="3"/>
    </row>
    <row r="977" spans="15:15" x14ac:dyDescent="0.25">
      <c r="O977" s="3"/>
    </row>
    <row r="978" spans="15:15" x14ac:dyDescent="0.25">
      <c r="O978" s="3"/>
    </row>
    <row r="979" spans="15:15" x14ac:dyDescent="0.25">
      <c r="O979" s="3"/>
    </row>
    <row r="980" spans="15:15" x14ac:dyDescent="0.25">
      <c r="O980" s="3"/>
    </row>
    <row r="981" spans="15:15" x14ac:dyDescent="0.25">
      <c r="O981" s="3"/>
    </row>
    <row r="982" spans="15:15" x14ac:dyDescent="0.25">
      <c r="O982" s="3"/>
    </row>
    <row r="983" spans="15:15" x14ac:dyDescent="0.25">
      <c r="O983" s="3"/>
    </row>
    <row r="984" spans="15:15" x14ac:dyDescent="0.25">
      <c r="O984" s="3"/>
    </row>
    <row r="985" spans="15:15" x14ac:dyDescent="0.25">
      <c r="O985" s="3"/>
    </row>
    <row r="986" spans="15:15" x14ac:dyDescent="0.25">
      <c r="O986" s="3"/>
    </row>
    <row r="987" spans="15:15" x14ac:dyDescent="0.25">
      <c r="O987" s="3"/>
    </row>
    <row r="988" spans="15:15" x14ac:dyDescent="0.25">
      <c r="O988" s="3"/>
    </row>
    <row r="989" spans="15:15" x14ac:dyDescent="0.25">
      <c r="O989" s="3"/>
    </row>
    <row r="990" spans="15:15" x14ac:dyDescent="0.25">
      <c r="O990" s="3"/>
    </row>
    <row r="991" spans="15:15" x14ac:dyDescent="0.25">
      <c r="O991" s="3"/>
    </row>
    <row r="992" spans="15:15" x14ac:dyDescent="0.25">
      <c r="O992" s="3"/>
    </row>
    <row r="993" spans="15:15" x14ac:dyDescent="0.25">
      <c r="O993" s="3"/>
    </row>
    <row r="994" spans="15:15" x14ac:dyDescent="0.25">
      <c r="O994" s="3"/>
    </row>
    <row r="995" spans="15:15" x14ac:dyDescent="0.25">
      <c r="O995" s="3"/>
    </row>
    <row r="996" spans="15:15" x14ac:dyDescent="0.25">
      <c r="O996" s="3"/>
    </row>
    <row r="997" spans="15:15" x14ac:dyDescent="0.25">
      <c r="O997" s="3"/>
    </row>
    <row r="998" spans="15:15" x14ac:dyDescent="0.25">
      <c r="O998" s="3"/>
    </row>
    <row r="999" spans="15:15" x14ac:dyDescent="0.25">
      <c r="O999" s="3"/>
    </row>
    <row r="1000" spans="15:15" x14ac:dyDescent="0.25">
      <c r="O1000" s="3"/>
    </row>
    <row r="1001" spans="15:15" x14ac:dyDescent="0.25">
      <c r="O1001" s="3"/>
    </row>
    <row r="1002" spans="15:15" x14ac:dyDescent="0.25">
      <c r="O1002" s="3"/>
    </row>
    <row r="1003" spans="15:15" x14ac:dyDescent="0.25">
      <c r="O1003" s="3"/>
    </row>
    <row r="1004" spans="15:15" x14ac:dyDescent="0.25">
      <c r="O1004" s="3"/>
    </row>
    <row r="1005" spans="15:15" x14ac:dyDescent="0.25">
      <c r="O1005" s="3"/>
    </row>
    <row r="1006" spans="15:15" x14ac:dyDescent="0.25">
      <c r="O1006" s="3"/>
    </row>
    <row r="1007" spans="15:15" x14ac:dyDescent="0.25">
      <c r="O1007" s="3"/>
    </row>
    <row r="1008" spans="15:15" x14ac:dyDescent="0.25">
      <c r="O1008" s="3"/>
    </row>
    <row r="1009" spans="15:15" x14ac:dyDescent="0.25">
      <c r="O1009" s="3"/>
    </row>
    <row r="1010" spans="15:15" x14ac:dyDescent="0.25">
      <c r="O1010" s="3"/>
    </row>
    <row r="1011" spans="15:15" x14ac:dyDescent="0.25">
      <c r="O1011" s="3"/>
    </row>
    <row r="1012" spans="15:15" x14ac:dyDescent="0.25">
      <c r="O1012" s="3"/>
    </row>
    <row r="1013" spans="15:15" x14ac:dyDescent="0.25">
      <c r="O1013" s="3"/>
    </row>
    <row r="1014" spans="15:15" x14ac:dyDescent="0.25">
      <c r="O1014" s="3"/>
    </row>
    <row r="1015" spans="15:15" x14ac:dyDescent="0.25">
      <c r="O1015" s="3"/>
    </row>
    <row r="1016" spans="15:15" x14ac:dyDescent="0.25">
      <c r="O1016" s="3"/>
    </row>
    <row r="1017" spans="15:15" x14ac:dyDescent="0.25">
      <c r="O1017" s="3"/>
    </row>
    <row r="1018" spans="15:15" x14ac:dyDescent="0.25">
      <c r="O1018" s="3"/>
    </row>
    <row r="1019" spans="15:15" x14ac:dyDescent="0.25">
      <c r="O1019" s="3"/>
    </row>
    <row r="1020" spans="15:15" x14ac:dyDescent="0.25">
      <c r="O1020" s="3"/>
    </row>
    <row r="1021" spans="15:15" x14ac:dyDescent="0.25">
      <c r="O1021" s="3"/>
    </row>
    <row r="1022" spans="15:15" x14ac:dyDescent="0.25">
      <c r="O1022" s="3"/>
    </row>
    <row r="1023" spans="15:15" x14ac:dyDescent="0.25">
      <c r="O1023" s="3"/>
    </row>
    <row r="1024" spans="15:15" x14ac:dyDescent="0.25">
      <c r="O1024" s="3"/>
    </row>
    <row r="1025" spans="15:15" x14ac:dyDescent="0.25">
      <c r="O1025" s="3"/>
    </row>
    <row r="1026" spans="15:15" x14ac:dyDescent="0.25">
      <c r="O1026" s="3"/>
    </row>
    <row r="1027" spans="15:15" x14ac:dyDescent="0.25">
      <c r="O1027" s="3"/>
    </row>
    <row r="1028" spans="15:15" x14ac:dyDescent="0.25">
      <c r="O1028" s="3"/>
    </row>
    <row r="1029" spans="15:15" x14ac:dyDescent="0.25">
      <c r="O1029" s="3"/>
    </row>
    <row r="1030" spans="15:15" x14ac:dyDescent="0.25">
      <c r="O1030" s="3"/>
    </row>
    <row r="1031" spans="15:15" x14ac:dyDescent="0.25">
      <c r="O1031" s="3"/>
    </row>
    <row r="1032" spans="15:15" x14ac:dyDescent="0.25">
      <c r="O1032" s="3"/>
    </row>
    <row r="1033" spans="15:15" x14ac:dyDescent="0.25">
      <c r="O1033" s="3"/>
    </row>
    <row r="1034" spans="15:15" x14ac:dyDescent="0.25">
      <c r="O1034" s="3"/>
    </row>
    <row r="1035" spans="15:15" x14ac:dyDescent="0.25">
      <c r="O1035" s="3"/>
    </row>
    <row r="1036" spans="15:15" x14ac:dyDescent="0.25">
      <c r="O1036" s="3"/>
    </row>
    <row r="1037" spans="15:15" x14ac:dyDescent="0.25">
      <c r="O1037" s="3"/>
    </row>
    <row r="1038" spans="15:15" x14ac:dyDescent="0.25">
      <c r="O1038" s="3"/>
    </row>
    <row r="1039" spans="15:15" x14ac:dyDescent="0.25">
      <c r="O1039" s="3"/>
    </row>
    <row r="1040" spans="15:15" x14ac:dyDescent="0.25">
      <c r="O1040" s="3"/>
    </row>
    <row r="1041" spans="15:15" x14ac:dyDescent="0.25">
      <c r="O1041" s="3"/>
    </row>
    <row r="1042" spans="15:15" x14ac:dyDescent="0.25">
      <c r="O1042" s="3"/>
    </row>
    <row r="1043" spans="15:15" x14ac:dyDescent="0.25">
      <c r="O1043" s="3"/>
    </row>
    <row r="1044" spans="15:15" x14ac:dyDescent="0.25">
      <c r="O1044" s="3"/>
    </row>
    <row r="1045" spans="15:15" x14ac:dyDescent="0.25">
      <c r="O1045" s="3"/>
    </row>
    <row r="1046" spans="15:15" x14ac:dyDescent="0.25">
      <c r="O1046" s="3"/>
    </row>
    <row r="1047" spans="15:15" x14ac:dyDescent="0.25">
      <c r="O1047" s="3"/>
    </row>
    <row r="1048" spans="15:15" x14ac:dyDescent="0.25">
      <c r="O1048" s="3"/>
    </row>
    <row r="1049" spans="15:15" x14ac:dyDescent="0.25">
      <c r="O1049" s="3"/>
    </row>
    <row r="1050" spans="15:15" x14ac:dyDescent="0.25">
      <c r="O1050" s="3"/>
    </row>
    <row r="1051" spans="15:15" x14ac:dyDescent="0.25">
      <c r="O1051" s="3"/>
    </row>
    <row r="1052" spans="15:15" x14ac:dyDescent="0.25">
      <c r="O1052" s="3"/>
    </row>
    <row r="1053" spans="15:15" x14ac:dyDescent="0.25">
      <c r="O1053" s="3"/>
    </row>
    <row r="1054" spans="15:15" x14ac:dyDescent="0.25">
      <c r="O1054" s="3"/>
    </row>
    <row r="1055" spans="15:15" x14ac:dyDescent="0.25">
      <c r="O1055" s="3"/>
    </row>
    <row r="1056" spans="15:15" x14ac:dyDescent="0.25">
      <c r="O1056" s="3"/>
    </row>
    <row r="1057" spans="15:15" x14ac:dyDescent="0.25">
      <c r="O1057" s="3"/>
    </row>
    <row r="1058" spans="15:15" x14ac:dyDescent="0.25">
      <c r="O1058" s="3"/>
    </row>
    <row r="1059" spans="15:15" x14ac:dyDescent="0.25">
      <c r="O1059" s="3"/>
    </row>
    <row r="1060" spans="15:15" x14ac:dyDescent="0.25">
      <c r="O1060" s="3"/>
    </row>
    <row r="1061" spans="15:15" x14ac:dyDescent="0.25">
      <c r="O1061" s="3"/>
    </row>
    <row r="1062" spans="15:15" x14ac:dyDescent="0.25">
      <c r="O1062" s="3"/>
    </row>
    <row r="1063" spans="15:15" x14ac:dyDescent="0.25">
      <c r="O1063" s="3"/>
    </row>
    <row r="1064" spans="15:15" x14ac:dyDescent="0.25">
      <c r="O1064" s="3"/>
    </row>
    <row r="1065" spans="15:15" x14ac:dyDescent="0.25">
      <c r="O1065" s="3"/>
    </row>
    <row r="1066" spans="15:15" x14ac:dyDescent="0.25">
      <c r="O1066" s="3"/>
    </row>
    <row r="1067" spans="15:15" x14ac:dyDescent="0.25">
      <c r="O1067" s="3"/>
    </row>
    <row r="1068" spans="15:15" x14ac:dyDescent="0.25">
      <c r="O1068" s="3"/>
    </row>
    <row r="1069" spans="15:15" x14ac:dyDescent="0.25">
      <c r="O1069" s="3"/>
    </row>
    <row r="1070" spans="15:15" x14ac:dyDescent="0.25">
      <c r="O1070" s="3"/>
    </row>
    <row r="1071" spans="15:15" x14ac:dyDescent="0.25">
      <c r="O1071" s="3"/>
    </row>
    <row r="1072" spans="15:15" x14ac:dyDescent="0.25">
      <c r="O1072" s="3"/>
    </row>
    <row r="1073" spans="15:15" x14ac:dyDescent="0.25">
      <c r="O1073" s="3"/>
    </row>
    <row r="1074" spans="15:15" x14ac:dyDescent="0.25">
      <c r="O1074" s="3"/>
    </row>
    <row r="1075" spans="15:15" x14ac:dyDescent="0.25">
      <c r="O1075" s="3"/>
    </row>
    <row r="1076" spans="15:15" x14ac:dyDescent="0.25">
      <c r="O1076" s="3"/>
    </row>
    <row r="1077" spans="15:15" x14ac:dyDescent="0.25">
      <c r="O1077" s="3"/>
    </row>
    <row r="1078" spans="15:15" x14ac:dyDescent="0.25">
      <c r="O1078" s="3"/>
    </row>
    <row r="1079" spans="15:15" x14ac:dyDescent="0.25">
      <c r="O1079" s="3"/>
    </row>
    <row r="1080" spans="15:15" x14ac:dyDescent="0.25">
      <c r="O1080" s="3"/>
    </row>
    <row r="1081" spans="15:15" x14ac:dyDescent="0.25">
      <c r="O1081" s="3"/>
    </row>
    <row r="1082" spans="15:15" x14ac:dyDescent="0.25">
      <c r="O1082" s="3"/>
    </row>
    <row r="1083" spans="15:15" x14ac:dyDescent="0.25">
      <c r="O1083" s="3"/>
    </row>
    <row r="1084" spans="15:15" x14ac:dyDescent="0.25">
      <c r="O1084" s="3"/>
    </row>
    <row r="1085" spans="15:15" x14ac:dyDescent="0.25">
      <c r="O1085" s="3"/>
    </row>
    <row r="1086" spans="15:15" x14ac:dyDescent="0.25">
      <c r="O1086" s="3"/>
    </row>
    <row r="1087" spans="15:15" x14ac:dyDescent="0.25">
      <c r="O1087" s="3"/>
    </row>
    <row r="1088" spans="15:15" x14ac:dyDescent="0.25">
      <c r="O1088" s="3"/>
    </row>
    <row r="1089" spans="15:15" x14ac:dyDescent="0.25">
      <c r="O1089" s="3"/>
    </row>
    <row r="1090" spans="15:15" x14ac:dyDescent="0.25">
      <c r="O1090" s="3"/>
    </row>
    <row r="1091" spans="15:15" x14ac:dyDescent="0.25">
      <c r="O1091" s="3"/>
    </row>
    <row r="1092" spans="15:15" x14ac:dyDescent="0.25">
      <c r="O1092" s="3"/>
    </row>
    <row r="1093" spans="15:15" x14ac:dyDescent="0.25">
      <c r="O1093" s="3"/>
    </row>
    <row r="1094" spans="15:15" x14ac:dyDescent="0.25">
      <c r="O1094" s="3"/>
    </row>
    <row r="1095" spans="15:15" x14ac:dyDescent="0.25">
      <c r="O1095" s="3"/>
    </row>
    <row r="1096" spans="15:15" x14ac:dyDescent="0.25">
      <c r="O1096" s="3"/>
    </row>
    <row r="1097" spans="15:15" x14ac:dyDescent="0.25">
      <c r="O1097" s="3"/>
    </row>
    <row r="1098" spans="15:15" x14ac:dyDescent="0.25">
      <c r="O1098" s="3"/>
    </row>
    <row r="1099" spans="15:15" x14ac:dyDescent="0.25">
      <c r="O1099" s="3"/>
    </row>
    <row r="1100" spans="15:15" x14ac:dyDescent="0.25">
      <c r="O1100" s="3"/>
    </row>
    <row r="1101" spans="15:15" x14ac:dyDescent="0.25">
      <c r="O1101" s="3"/>
    </row>
    <row r="1102" spans="15:15" x14ac:dyDescent="0.25">
      <c r="O1102" s="3"/>
    </row>
    <row r="1103" spans="15:15" x14ac:dyDescent="0.25">
      <c r="O1103" s="3"/>
    </row>
    <row r="1104" spans="15:15" x14ac:dyDescent="0.25">
      <c r="O1104" s="3"/>
    </row>
    <row r="1105" spans="15:15" x14ac:dyDescent="0.25">
      <c r="O1105" s="3"/>
    </row>
    <row r="1106" spans="15:15" x14ac:dyDescent="0.25">
      <c r="O1106" s="3"/>
    </row>
    <row r="1107" spans="15:15" x14ac:dyDescent="0.25">
      <c r="O1107" s="3"/>
    </row>
    <row r="1108" spans="15:15" x14ac:dyDescent="0.25">
      <c r="O1108" s="3"/>
    </row>
    <row r="1109" spans="15:15" x14ac:dyDescent="0.25">
      <c r="O1109" s="3"/>
    </row>
    <row r="1110" spans="15:15" x14ac:dyDescent="0.25">
      <c r="O1110" s="3"/>
    </row>
    <row r="1111" spans="15:15" x14ac:dyDescent="0.25">
      <c r="O1111" s="3"/>
    </row>
    <row r="1112" spans="15:15" x14ac:dyDescent="0.25">
      <c r="O1112" s="3"/>
    </row>
    <row r="1113" spans="15:15" x14ac:dyDescent="0.25">
      <c r="O1113" s="3"/>
    </row>
    <row r="1114" spans="15:15" x14ac:dyDescent="0.25">
      <c r="O1114" s="3"/>
    </row>
    <row r="1115" spans="15:15" x14ac:dyDescent="0.25">
      <c r="O1115" s="3"/>
    </row>
    <row r="1116" spans="15:15" x14ac:dyDescent="0.25">
      <c r="O1116" s="3"/>
    </row>
    <row r="1117" spans="15:15" x14ac:dyDescent="0.25">
      <c r="O1117" s="3"/>
    </row>
    <row r="1118" spans="15:15" x14ac:dyDescent="0.25">
      <c r="O1118" s="3"/>
    </row>
    <row r="1119" spans="15:15" x14ac:dyDescent="0.25">
      <c r="O1119" s="3"/>
    </row>
    <row r="1120" spans="15:15" x14ac:dyDescent="0.25">
      <c r="O1120" s="3"/>
    </row>
    <row r="1121" spans="15:15" x14ac:dyDescent="0.25">
      <c r="O1121" s="3"/>
    </row>
    <row r="1122" spans="15:15" x14ac:dyDescent="0.25">
      <c r="O1122" s="3"/>
    </row>
    <row r="1123" spans="15:15" x14ac:dyDescent="0.25">
      <c r="O1123" s="3"/>
    </row>
    <row r="1124" spans="15:15" x14ac:dyDescent="0.25">
      <c r="O1124" s="3"/>
    </row>
    <row r="1125" spans="15:15" x14ac:dyDescent="0.25">
      <c r="O1125" s="3"/>
    </row>
    <row r="1126" spans="15:15" x14ac:dyDescent="0.25">
      <c r="O1126" s="3"/>
    </row>
    <row r="1127" spans="15:15" x14ac:dyDescent="0.25">
      <c r="O1127" s="3"/>
    </row>
    <row r="1128" spans="15:15" x14ac:dyDescent="0.25">
      <c r="O1128" s="3"/>
    </row>
    <row r="1129" spans="15:15" x14ac:dyDescent="0.25">
      <c r="O1129" s="3"/>
    </row>
    <row r="1130" spans="15:15" x14ac:dyDescent="0.25">
      <c r="O1130" s="3"/>
    </row>
    <row r="1131" spans="15:15" x14ac:dyDescent="0.25">
      <c r="O1131" s="3"/>
    </row>
    <row r="1132" spans="15:15" x14ac:dyDescent="0.25">
      <c r="O1132" s="3"/>
    </row>
    <row r="1133" spans="15:15" x14ac:dyDescent="0.25">
      <c r="O1133" s="3"/>
    </row>
    <row r="1134" spans="15:15" x14ac:dyDescent="0.25">
      <c r="O1134" s="3"/>
    </row>
    <row r="1135" spans="15:15" x14ac:dyDescent="0.25">
      <c r="O1135" s="3"/>
    </row>
    <row r="1136" spans="15:15" x14ac:dyDescent="0.25">
      <c r="O1136" s="3"/>
    </row>
    <row r="1137" spans="15:15" x14ac:dyDescent="0.25">
      <c r="O1137" s="3"/>
    </row>
    <row r="1138" spans="15:15" x14ac:dyDescent="0.25">
      <c r="O1138" s="3"/>
    </row>
    <row r="1139" spans="15:15" x14ac:dyDescent="0.25">
      <c r="O1139" s="3"/>
    </row>
    <row r="1140" spans="15:15" x14ac:dyDescent="0.25">
      <c r="O1140" s="3"/>
    </row>
    <row r="1141" spans="15:15" x14ac:dyDescent="0.25">
      <c r="O1141" s="3"/>
    </row>
    <row r="1142" spans="15:15" x14ac:dyDescent="0.25">
      <c r="O1142" s="3"/>
    </row>
    <row r="1143" spans="15:15" x14ac:dyDescent="0.25">
      <c r="O1143" s="3"/>
    </row>
    <row r="1144" spans="15:15" x14ac:dyDescent="0.25">
      <c r="O1144" s="3"/>
    </row>
    <row r="1145" spans="15:15" x14ac:dyDescent="0.25">
      <c r="O1145" s="3"/>
    </row>
    <row r="1146" spans="15:15" x14ac:dyDescent="0.25">
      <c r="O1146" s="3"/>
    </row>
    <row r="1147" spans="15:15" x14ac:dyDescent="0.25">
      <c r="O1147" s="3"/>
    </row>
    <row r="1148" spans="15:15" x14ac:dyDescent="0.25">
      <c r="O1148" s="3"/>
    </row>
    <row r="1149" spans="15:15" x14ac:dyDescent="0.25">
      <c r="O1149" s="3"/>
    </row>
    <row r="1150" spans="15:15" x14ac:dyDescent="0.25">
      <c r="O1150" s="3"/>
    </row>
    <row r="1151" spans="15:15" x14ac:dyDescent="0.25">
      <c r="O1151" s="3"/>
    </row>
    <row r="1152" spans="15:15" x14ac:dyDescent="0.25">
      <c r="O1152" s="3"/>
    </row>
    <row r="1153" spans="15:15" x14ac:dyDescent="0.25">
      <c r="O1153" s="3"/>
    </row>
    <row r="1154" spans="15:15" x14ac:dyDescent="0.25">
      <c r="O1154" s="3"/>
    </row>
    <row r="1155" spans="15:15" x14ac:dyDescent="0.25">
      <c r="O1155" s="3"/>
    </row>
    <row r="1156" spans="15:15" x14ac:dyDescent="0.25">
      <c r="O1156" s="3"/>
    </row>
    <row r="1157" spans="15:15" x14ac:dyDescent="0.25">
      <c r="O1157" s="3"/>
    </row>
    <row r="1158" spans="15:15" x14ac:dyDescent="0.25">
      <c r="O1158" s="3"/>
    </row>
    <row r="1159" spans="15:15" x14ac:dyDescent="0.25">
      <c r="O1159" s="3"/>
    </row>
    <row r="1160" spans="15:15" x14ac:dyDescent="0.25">
      <c r="O1160" s="3"/>
    </row>
    <row r="1161" spans="15:15" x14ac:dyDescent="0.25">
      <c r="O1161" s="3"/>
    </row>
    <row r="1162" spans="15:15" x14ac:dyDescent="0.25">
      <c r="O1162" s="3"/>
    </row>
    <row r="1163" spans="15:15" x14ac:dyDescent="0.25">
      <c r="O1163" s="3"/>
    </row>
    <row r="1164" spans="15:15" x14ac:dyDescent="0.25">
      <c r="O1164" s="3"/>
    </row>
    <row r="1165" spans="15:15" x14ac:dyDescent="0.25">
      <c r="O1165" s="3"/>
    </row>
    <row r="1166" spans="15:15" x14ac:dyDescent="0.25">
      <c r="O1166" s="3"/>
    </row>
    <row r="1167" spans="15:15" x14ac:dyDescent="0.25">
      <c r="O1167" s="3"/>
    </row>
    <row r="1168" spans="15:15" x14ac:dyDescent="0.25">
      <c r="O1168" s="3"/>
    </row>
    <row r="1169" spans="15:15" x14ac:dyDescent="0.25">
      <c r="O1169" s="3"/>
    </row>
    <row r="1170" spans="15:15" x14ac:dyDescent="0.25">
      <c r="O1170" s="3"/>
    </row>
    <row r="1171" spans="15:15" x14ac:dyDescent="0.25">
      <c r="O1171" s="3"/>
    </row>
    <row r="1172" spans="15:15" x14ac:dyDescent="0.25">
      <c r="O1172" s="3"/>
    </row>
    <row r="1173" spans="15:15" x14ac:dyDescent="0.25">
      <c r="O1173" s="3"/>
    </row>
    <row r="1174" spans="15:15" x14ac:dyDescent="0.25">
      <c r="O1174" s="3"/>
    </row>
    <row r="1175" spans="15:15" x14ac:dyDescent="0.25">
      <c r="O1175" s="3"/>
    </row>
    <row r="1176" spans="15:15" x14ac:dyDescent="0.25">
      <c r="O1176" s="3"/>
    </row>
    <row r="1177" spans="15:15" x14ac:dyDescent="0.25">
      <c r="O1177" s="3"/>
    </row>
    <row r="1178" spans="15:15" x14ac:dyDescent="0.25">
      <c r="O1178" s="3"/>
    </row>
    <row r="1179" spans="15:15" x14ac:dyDescent="0.25">
      <c r="O1179" s="3"/>
    </row>
    <row r="1180" spans="15:15" x14ac:dyDescent="0.25">
      <c r="O1180" s="3"/>
    </row>
    <row r="1181" spans="15:15" x14ac:dyDescent="0.25">
      <c r="O1181" s="3"/>
    </row>
    <row r="1182" spans="15:15" x14ac:dyDescent="0.25">
      <c r="O1182" s="3"/>
    </row>
    <row r="1183" spans="15:15" x14ac:dyDescent="0.25">
      <c r="O1183" s="3"/>
    </row>
    <row r="1184" spans="15:15" x14ac:dyDescent="0.25">
      <c r="O1184" s="3"/>
    </row>
    <row r="1185" spans="15:15" x14ac:dyDescent="0.25">
      <c r="O1185" s="3"/>
    </row>
    <row r="1186" spans="15:15" x14ac:dyDescent="0.25">
      <c r="O1186" s="3"/>
    </row>
    <row r="1187" spans="15:15" x14ac:dyDescent="0.25">
      <c r="O1187" s="3"/>
    </row>
    <row r="1188" spans="15:15" x14ac:dyDescent="0.25">
      <c r="O1188" s="3"/>
    </row>
    <row r="1189" spans="15:15" x14ac:dyDescent="0.25">
      <c r="O1189" s="3"/>
    </row>
    <row r="1190" spans="15:15" x14ac:dyDescent="0.25">
      <c r="O1190" s="3"/>
    </row>
    <row r="1191" spans="15:15" x14ac:dyDescent="0.25">
      <c r="O1191" s="3"/>
    </row>
    <row r="1192" spans="15:15" x14ac:dyDescent="0.25">
      <c r="O1192" s="3"/>
    </row>
    <row r="1193" spans="15:15" x14ac:dyDescent="0.25">
      <c r="O1193" s="3"/>
    </row>
    <row r="1194" spans="15:15" x14ac:dyDescent="0.25">
      <c r="O1194" s="3"/>
    </row>
    <row r="1195" spans="15:15" x14ac:dyDescent="0.25">
      <c r="O1195" s="3"/>
    </row>
    <row r="1196" spans="15:15" x14ac:dyDescent="0.25">
      <c r="O1196" s="3"/>
    </row>
    <row r="1197" spans="15:15" x14ac:dyDescent="0.25">
      <c r="O1197" s="3"/>
    </row>
    <row r="1198" spans="15:15" x14ac:dyDescent="0.25">
      <c r="O1198" s="3"/>
    </row>
    <row r="1199" spans="15:15" x14ac:dyDescent="0.25">
      <c r="O1199" s="3"/>
    </row>
    <row r="1200" spans="15:15" x14ac:dyDescent="0.25">
      <c r="O1200" s="3"/>
    </row>
    <row r="1201" spans="15:15" x14ac:dyDescent="0.25">
      <c r="O1201" s="3"/>
    </row>
    <row r="1202" spans="15:15" x14ac:dyDescent="0.25">
      <c r="O1202" s="3"/>
    </row>
    <row r="1203" spans="15:15" x14ac:dyDescent="0.25">
      <c r="O1203" s="3"/>
    </row>
    <row r="1204" spans="15:15" x14ac:dyDescent="0.25">
      <c r="O1204" s="3"/>
    </row>
    <row r="1205" spans="15:15" x14ac:dyDescent="0.25">
      <c r="O1205" s="3"/>
    </row>
    <row r="1206" spans="15:15" x14ac:dyDescent="0.25">
      <c r="O1206" s="3"/>
    </row>
    <row r="1207" spans="15:15" x14ac:dyDescent="0.25">
      <c r="O1207" s="3"/>
    </row>
    <row r="1208" spans="15:15" x14ac:dyDescent="0.25">
      <c r="O1208" s="3"/>
    </row>
    <row r="1209" spans="15:15" x14ac:dyDescent="0.25">
      <c r="O1209" s="3"/>
    </row>
    <row r="1210" spans="15:15" x14ac:dyDescent="0.25">
      <c r="O1210" s="3"/>
    </row>
    <row r="1211" spans="15:15" x14ac:dyDescent="0.25">
      <c r="O1211" s="3"/>
    </row>
    <row r="1212" spans="15:15" x14ac:dyDescent="0.25">
      <c r="O1212" s="3"/>
    </row>
    <row r="1213" spans="15:15" x14ac:dyDescent="0.25">
      <c r="O1213" s="3"/>
    </row>
    <row r="1214" spans="15:15" x14ac:dyDescent="0.25">
      <c r="O1214" s="3"/>
    </row>
    <row r="1215" spans="15:15" x14ac:dyDescent="0.25">
      <c r="O1215" s="3"/>
    </row>
    <row r="1216" spans="15:15" x14ac:dyDescent="0.25">
      <c r="O1216" s="3"/>
    </row>
    <row r="1217" spans="15:15" x14ac:dyDescent="0.25">
      <c r="O1217" s="3"/>
    </row>
    <row r="1218" spans="15:15" x14ac:dyDescent="0.25">
      <c r="O1218" s="3"/>
    </row>
    <row r="1219" spans="15:15" x14ac:dyDescent="0.25">
      <c r="O1219" s="3"/>
    </row>
    <row r="1220" spans="15:15" x14ac:dyDescent="0.25">
      <c r="O1220" s="3"/>
    </row>
    <row r="1221" spans="15:15" x14ac:dyDescent="0.25">
      <c r="O1221" s="3"/>
    </row>
    <row r="1222" spans="15:15" x14ac:dyDescent="0.25">
      <c r="O1222" s="3"/>
    </row>
    <row r="1223" spans="15:15" x14ac:dyDescent="0.25">
      <c r="O1223" s="3"/>
    </row>
    <row r="1224" spans="15:15" x14ac:dyDescent="0.25">
      <c r="O1224" s="3"/>
    </row>
    <row r="1225" spans="15:15" x14ac:dyDescent="0.25">
      <c r="O1225" s="3"/>
    </row>
    <row r="1226" spans="15:15" x14ac:dyDescent="0.25">
      <c r="O1226" s="3"/>
    </row>
    <row r="1227" spans="15:15" x14ac:dyDescent="0.25">
      <c r="O1227" s="3"/>
    </row>
    <row r="1228" spans="15:15" x14ac:dyDescent="0.25">
      <c r="O1228" s="3"/>
    </row>
    <row r="1229" spans="15:15" x14ac:dyDescent="0.25">
      <c r="O1229" s="3"/>
    </row>
    <row r="1230" spans="15:15" x14ac:dyDescent="0.25">
      <c r="O1230" s="3"/>
    </row>
    <row r="1231" spans="15:15" x14ac:dyDescent="0.25">
      <c r="O1231" s="3"/>
    </row>
    <row r="1232" spans="15:15" x14ac:dyDescent="0.25">
      <c r="O1232" s="3"/>
    </row>
    <row r="1233" spans="15:15" x14ac:dyDescent="0.25">
      <c r="O1233" s="3"/>
    </row>
    <row r="1234" spans="15:15" x14ac:dyDescent="0.25">
      <c r="O1234" s="3"/>
    </row>
  </sheetData>
  <mergeCells count="19">
    <mergeCell ref="A152:L152"/>
    <mergeCell ref="A174:L174"/>
    <mergeCell ref="A175:L175"/>
    <mergeCell ref="A202:L202"/>
    <mergeCell ref="A67:L67"/>
    <mergeCell ref="A68:L68"/>
    <mergeCell ref="A112:L112"/>
    <mergeCell ref="A133:L133"/>
    <mergeCell ref="A151:L151"/>
    <mergeCell ref="A97:L97"/>
    <mergeCell ref="A98:L98"/>
    <mergeCell ref="A113:L113"/>
    <mergeCell ref="A134:L134"/>
    <mergeCell ref="M1:N1"/>
    <mergeCell ref="I1:J1"/>
    <mergeCell ref="K1:L1"/>
    <mergeCell ref="A3:L3"/>
    <mergeCell ref="A35:L35"/>
    <mergeCell ref="A34:L34"/>
  </mergeCells>
  <hyperlinks>
    <hyperlink ref="C5" location="'19-021'!A1" display="104032558341(CN19/021)"/>
    <hyperlink ref="C69" location="'0786B'!A1" display="1037628444141 (AEV0160786B)"/>
    <hyperlink ref="C99" location="'5803'!A1" display="104188472361 (ONEYABJB00075803)"/>
    <hyperlink ref="C135" location="'122D'!A1" display="104254535601(AEV0168122D)"/>
    <hyperlink ref="C36" location="'19-021'!A1" display="104032558341(CN19/021)"/>
    <hyperlink ref="C100" location="'540A'!A1" display="103708272031(AEV0160540A)"/>
    <hyperlink ref="C136" location="'095I'!A1" display="104277349151(AEV0166095I)"/>
    <hyperlink ref="C7" location="'2986'!A1" display="103708131921(AEV0162986)"/>
    <hyperlink ref="C114" location="'4595'!A1" display="104290622111(AFIC/SIN/204595)"/>
    <hyperlink ref="C9" location="'037C'!A1" display="104170422641(AEV0168037C)"/>
    <hyperlink ref="C176" location="'1709'!A1" display="104353636921(AEV0171709)"/>
    <hyperlink ref="C74" location="'1390'!A1" display="104202259121(COSU6300231390)"/>
    <hyperlink ref="C137" location="'886A'!A1" display="104277042221(AEV0167886A)"/>
    <hyperlink ref="C11" location="'122G'!A1" display="104258715411(AEV0168122G)"/>
    <hyperlink ref="C42" location="'095H'!A1" display="104258753321(AEV0166095H)"/>
    <hyperlink ref="C43" location="'612D'!A1" display="104433582741(BSS0100612D)"/>
    <hyperlink ref="C154" location="'1640'!A1" display="104379588021(HLCUDK1210701640)"/>
    <hyperlink ref="C12" location="'612B'!A1" display="104433387661(BSS0100612B)"/>
    <hyperlink ref="C13" location="'594B'!A1" display="104374273621(BSS0100594B)"/>
    <hyperlink ref="C178" location="'3247'!A1" display="104315530911(212333247)"/>
    <hyperlink ref="C45" location="'0511D'!A1" display="103665052411(0511D)"/>
    <hyperlink ref="C117" location="'1358'!A1" display="103697290911(204941358)"/>
    <hyperlink ref="C46" location="'2197'!A1" display="103698414302(AEV0162197)"/>
    <hyperlink ref="C14" location="'368B'!A1" display="103673711151(AEV0161368B)"/>
    <hyperlink ref="C15" location="'5901'!A1" display="104186427701 (ONEYABJB0015901)"/>
    <hyperlink ref="C118" location="'4693'!A1" display="104285777041(AFIC/SIN/204693)"/>
    <hyperlink ref="C155" location="'594D'!A1" display="104374491212(BSS0100594D)"/>
    <hyperlink ref="C47" location="'0202'!A1" display="104260726951(HLCUDK1210700202)"/>
    <hyperlink ref="C119" location="'0080'!A1" display="104265033351(HLCUDKR210700080)"/>
    <hyperlink ref="C48" location="'6900'!A1" display="104518421821(ONEYDKRB00256900)"/>
    <hyperlink ref="C140" location="'079J'!A1" display="104285549651(AEV0170079J)"/>
    <hyperlink ref="C181" location="'511A'!A1" display="104357971801(BSS0100511A)"/>
    <hyperlink ref="C182" location="'511B'!A1" display="104354896551(BSS0100511B)"/>
    <hyperlink ref="C156" location="'594A'!A1" display="104374096261(BSS0100594A)"/>
    <hyperlink ref="C184" location="'6205'!A1" display="104299057441(212576205)"/>
    <hyperlink ref="C78" location="'8875'!A1" display="104329789101(213348875)"/>
    <hyperlink ref="C185" location="'6341'!A1" display="104520968051 ( COSU6314216341)"/>
    <hyperlink ref="C17" location="'7300'!A1" display="104518456931(ONEYDKB00257300)"/>
    <hyperlink ref="C187" location="'394G'!A1" display="104327257161(AEV0168394G)"/>
    <hyperlink ref="C79" location="'127F'!A1" display="104190449861(AEV0168127F)"/>
    <hyperlink ref="C188" location="'605C'!A1" display="104335643901(21228605C)"/>
    <hyperlink ref="C50" location="'9861'!A1" display="104518136811(OOLU4052419861)"/>
    <hyperlink ref="C82" location="'6801'!A1" display="104605432301(ONEYTEMC00296801)"/>
    <hyperlink ref="C51" location="'005E'!A1" display="104579357521(DKA0145005E)"/>
    <hyperlink ref="C190" location="'1230'!A1" display="104317799611(IVL0181230)"/>
    <hyperlink ref="C83" location="'3880'!A1" display="104188514511 (cosu6302063880)"/>
    <hyperlink ref="C159" location="'999C'!A1" display="104377437841(AEV0170999C)"/>
    <hyperlink ref="C52" location="'1440'!A1" display="104260609941(HLCUDK1210701440)"/>
    <hyperlink ref="C160" location="'1854'!A1" display="104343684321(212511854)"/>
    <hyperlink ref="C19" location="'3979'!A1" display="104226471861(MEDUTM143979)"/>
    <hyperlink ref="C192" location="'4796'!A1" display="104395461221(AFIC/SIN/204796)"/>
    <hyperlink ref="C53" location="'0323'!A1" display="104650226331(HLCUDKR220300323)"/>
    <hyperlink ref="C84" location="'4500'!A1" display="104200647241(AFIC/SIN/204500)"/>
    <hyperlink ref="C161" location="'71640'!A1" display="104518374811 (COSU6318171640)"/>
    <hyperlink ref="C85" location="'9467'!A1" display="104148312551(211609467)"/>
    <hyperlink ref="C20" location="'8905'!A1" display="104188307161(ONEYTEMB00568905)"/>
    <hyperlink ref="C21" location="'042I'!A1" display="104251958201(AEV0168042I)"/>
    <hyperlink ref="C22" location="'9509'!A1" display="104147940631(211609509)"/>
    <hyperlink ref="C193" location="'528F'!A1" display="104358341621(BSS0100528F)"/>
    <hyperlink ref="C194" location="'528C'!A1" display="104338686432(BSS0100528C)"/>
    <hyperlink ref="C54" location="'314C'!A1" display="104164712041(AEV0166314C)"/>
    <hyperlink ref="C121" location="'4720'!A1" display="104307915501(AFIC/SIN/204720)"/>
    <hyperlink ref="C162" location="'1383'!A1" display="104358385831(IVL0181383)"/>
    <hyperlink ref="C122" location="'3248'!A1" display="104279478221(212333248)"/>
    <hyperlink ref="C123" location="'119E'!A1" display="104277634861(AEV0168119E)"/>
    <hyperlink ref="C142" location="'636C'!A1" display="104403750141(BSS0100636C)"/>
    <hyperlink ref="C195" location="'3146'!A1" display="104299148811(212793146)"/>
    <hyperlink ref="C124" location="'0334'!A1" display="104662176361(HLCUDKR220300334)"/>
    <hyperlink ref="C55" location="'118A'!A1" display="104175128741(AEV0168118A)"/>
    <hyperlink ref="C143" location="'5700'!A1" display="104614325762 (ONEYTEMC00295700)"/>
    <hyperlink ref="C86" location="'636B'!A1" display="104403653431(BSS0100636B)"/>
    <hyperlink ref="C198" location="'612l'!A1" display="104298440041(21186612L)"/>
    <hyperlink ref="C144" location="'0400'!A1" display="104518483641(ONEYDKRB00260400)"/>
    <hyperlink ref="C105" location="GREENTECC8!A1" display="104467664341(GREENTECC8)"/>
    <hyperlink ref="C106" location="'7775'!A1" display="104380132031(MEDUPD127775)"/>
    <hyperlink ref="C23" location="'6800'!A1" display="104605517111(ONEYTEMC00296800)"/>
    <hyperlink ref="C164" location="'4604'!A1" display="104343999541(212424604)"/>
    <hyperlink ref="C24" location="'095G'!A1" display="104263666361(AEV0166095G)"/>
    <hyperlink ref="C25" location="'370A'!A1" display="104503591361 (DKA0144370A)"/>
    <hyperlink ref="C57" location="'4575'!A1" display="104290582101(AFIC/SIN/204575)"/>
    <hyperlink ref="C87" location="'4498'!A1" display="104205056211(AFIC/SIN/204498)"/>
    <hyperlink ref="C107" location="'4230'!A1" display="104168659821 (AFIC/SIN/204230)"/>
    <hyperlink ref="C108" location="'636E'!A1" display="104404000411(BSS0100636E)"/>
    <hyperlink ref="C125" location="'3383'!A1" display="104261946021(209343383)"/>
    <hyperlink ref="C145" location="'0458'!A1" display="104260365311(HLCUDK1210700458)"/>
    <hyperlink ref="C199" location="'092B'!A1" display="104292782751(20989092B)"/>
    <hyperlink ref="C88" location="'084F'!A1" display="104321911151(AEV0170084F)"/>
    <hyperlink ref="C58" location="GREENTECE1!A1" display="104469632741(GREENTECE1)"/>
    <hyperlink ref="C126" location="'4596'!A1" display="104290661751(AFIC/SIN/204596)"/>
    <hyperlink ref="C89" location="GREENTECC4!A1" display="104466965961(GREENTECC4)"/>
    <hyperlink ref="C59" location="'8111'!A1" display="104588143922 ( OOLU2684258111)"/>
    <hyperlink ref="C26" location="'084G'!A1" display="104323891821(AEV0170084G)"/>
    <hyperlink ref="C165" location="ROSEA4!A1" display="104829986002 (PAROSEA4)"/>
    <hyperlink ref="C166" location="ROSEC2!A1" display="104829551262(PAROSEC2)"/>
    <hyperlink ref="C90" location="GREENTECA1!A1" display="104467088131(GREENTECA1)"/>
    <hyperlink ref="C91" location="'3739'!A1" display="104744314031(GOSUABI22003739)"/>
    <hyperlink ref="C27" location="GREENTECA10!A1" display="104467095941(GREENTECA10)"/>
    <hyperlink ref="C109" location="'6480'!A1" display="10417117461(COSU6301396480)"/>
    <hyperlink ref="C167" location="'5819'!A1" display="104875081141(217855819)"/>
    <hyperlink ref="C168" location="'528I'!A1" display="104339771102(BSS0100528I)"/>
    <hyperlink ref="C60" location="'895A'!A17" display="104254869461(AEV0167895A)"/>
    <hyperlink ref="C28" location="'095F'!A1" display="104254995131(AEV0166095F)"/>
    <hyperlink ref="C169" location="'4652'!A1" display="104329222801(AFIC/SIN/204652)"/>
    <hyperlink ref="C92" location="'8302'!A1" display="104868119901(ONEYTEMC01288302)"/>
    <hyperlink ref="C93" location="'5370'!A1" display="104883582751(COSU6338195370)"/>
    <hyperlink ref="C94" location="'8600'!A1" display="104869278731(ONEYTEMC01338600)"/>
    <hyperlink ref="C146" location="'GREENTEC A8'!A1" display="104467093031(GREENTECA8)"/>
    <hyperlink ref="C170" location="'2060'!A1" display="104868551541(HLCUAB1220502060)"/>
    <hyperlink ref="C29" location="'4110'!A1" display="104746279631(OOLU4052924110)"/>
    <hyperlink ref="C30" location="'1617'!A1" display="104293426531(211811617)"/>
    <hyperlink ref="C61" location="'7500'!A1" display="104170272401(210617500)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62"/>
  <sheetViews>
    <sheetView tabSelected="1" topLeftCell="A135" zoomScale="89" zoomScaleNormal="89" workbookViewId="0">
      <pane xSplit="3" ySplit="7" topLeftCell="D274" activePane="bottomRight" state="frozen"/>
      <selection activeCell="A135" sqref="A135"/>
      <selection pane="topRight" activeCell="D135" sqref="D135"/>
      <selection pane="bottomLeft" activeCell="A142" sqref="A142"/>
      <selection pane="bottomRight" activeCell="J278" sqref="J278"/>
    </sheetView>
  </sheetViews>
  <sheetFormatPr defaultRowHeight="15" x14ac:dyDescent="0.25"/>
  <cols>
    <col min="1" max="1" width="18.5703125" customWidth="1"/>
    <col min="2" max="2" width="16" customWidth="1"/>
    <col min="3" max="3" width="16.140625" bestFit="1" customWidth="1"/>
    <col min="4" max="6" width="17.5703125" bestFit="1" customWidth="1"/>
    <col min="7" max="7" width="16" customWidth="1"/>
    <col min="8" max="8" width="17.5703125" bestFit="1" customWidth="1"/>
    <col min="9" max="9" width="16.5703125" customWidth="1"/>
    <col min="10" max="10" width="16.28515625" customWidth="1"/>
    <col min="11" max="11" width="20.42578125" bestFit="1" customWidth="1"/>
    <col min="12" max="12" width="19.42578125" bestFit="1" customWidth="1"/>
    <col min="13" max="13" width="6.5703125" customWidth="1"/>
    <col min="14" max="16" width="17.5703125" bestFit="1" customWidth="1"/>
    <col min="17" max="20" width="16" customWidth="1"/>
    <col min="21" max="21" width="18" bestFit="1" customWidth="1"/>
    <col min="22" max="22" width="20.85546875" customWidth="1"/>
  </cols>
  <sheetData>
    <row r="1" spans="1:23" ht="21" x14ac:dyDescent="0.35">
      <c r="A1" s="785" t="s">
        <v>68</v>
      </c>
      <c r="B1" s="785"/>
      <c r="C1" s="785"/>
      <c r="D1" s="785"/>
      <c r="E1" s="785"/>
      <c r="F1" s="785"/>
      <c r="G1" s="785"/>
      <c r="H1" s="785"/>
      <c r="I1" s="785"/>
      <c r="J1" s="785"/>
      <c r="K1" s="785"/>
      <c r="L1" s="785"/>
      <c r="M1" s="785"/>
      <c r="N1" s="785"/>
      <c r="O1" s="785"/>
      <c r="P1" s="785"/>
      <c r="Q1" s="785"/>
      <c r="R1" s="785"/>
      <c r="S1" s="785"/>
      <c r="T1" s="785"/>
      <c r="U1" s="785"/>
      <c r="V1" s="785"/>
      <c r="W1" s="215"/>
    </row>
    <row r="2" spans="1:23" ht="21" x14ac:dyDescent="0.35">
      <c r="A2" s="786" t="s">
        <v>70</v>
      </c>
      <c r="B2" s="787"/>
      <c r="C2" s="787"/>
      <c r="D2" s="787"/>
      <c r="E2" s="787"/>
      <c r="F2" s="787"/>
      <c r="G2" s="787"/>
      <c r="H2" s="787"/>
      <c r="I2" s="787"/>
      <c r="J2" s="787"/>
      <c r="K2" s="787"/>
      <c r="L2" s="788"/>
      <c r="M2" s="216"/>
      <c r="N2" s="786" t="s">
        <v>49</v>
      </c>
      <c r="O2" s="787"/>
      <c r="P2" s="787"/>
      <c r="Q2" s="787"/>
      <c r="R2" s="787"/>
      <c r="S2" s="787"/>
      <c r="T2" s="787"/>
      <c r="U2" s="787"/>
      <c r="V2" s="788"/>
      <c r="W2" s="215"/>
    </row>
    <row r="3" spans="1:23" ht="21" x14ac:dyDescent="0.35">
      <c r="A3" s="217" t="s">
        <v>69</v>
      </c>
      <c r="B3" s="218" t="s">
        <v>77</v>
      </c>
      <c r="C3" s="218" t="s">
        <v>76</v>
      </c>
      <c r="D3" s="219" t="s">
        <v>71</v>
      </c>
      <c r="E3" s="219" t="s">
        <v>72</v>
      </c>
      <c r="F3" s="219" t="s">
        <v>73</v>
      </c>
      <c r="G3" s="220" t="s">
        <v>188</v>
      </c>
      <c r="H3" s="220" t="s">
        <v>189</v>
      </c>
      <c r="I3" s="220" t="s">
        <v>190</v>
      </c>
      <c r="J3" s="220" t="s">
        <v>539</v>
      </c>
      <c r="K3" s="220" t="s">
        <v>540</v>
      </c>
      <c r="L3" s="218" t="s">
        <v>75</v>
      </c>
      <c r="M3" s="221"/>
      <c r="N3" s="219" t="s">
        <v>71</v>
      </c>
      <c r="O3" s="219" t="s">
        <v>72</v>
      </c>
      <c r="P3" s="219" t="s">
        <v>73</v>
      </c>
      <c r="Q3" s="220" t="s">
        <v>188</v>
      </c>
      <c r="R3" s="220" t="s">
        <v>189</v>
      </c>
      <c r="S3" s="220" t="s">
        <v>190</v>
      </c>
      <c r="T3" s="220" t="s">
        <v>539</v>
      </c>
      <c r="U3" s="220" t="s">
        <v>540</v>
      </c>
      <c r="V3" s="218" t="s">
        <v>75</v>
      </c>
      <c r="W3" s="215"/>
    </row>
    <row r="4" spans="1:23" s="211" customFormat="1" ht="45" customHeight="1" x14ac:dyDescent="0.3">
      <c r="A4" s="775" t="s">
        <v>730</v>
      </c>
      <c r="B4" s="776"/>
      <c r="C4" s="777"/>
      <c r="D4" s="278">
        <v>13940380</v>
      </c>
      <c r="E4" s="278">
        <v>19724370</v>
      </c>
      <c r="F4" s="278">
        <v>17243450</v>
      </c>
      <c r="G4" s="278">
        <v>7727670</v>
      </c>
      <c r="H4" s="278">
        <v>10203190</v>
      </c>
      <c r="I4" s="278">
        <v>6763060</v>
      </c>
      <c r="J4" s="278">
        <v>0</v>
      </c>
      <c r="K4" s="278">
        <v>0</v>
      </c>
      <c r="L4" s="279">
        <v>75602120</v>
      </c>
      <c r="M4" s="221"/>
      <c r="N4" s="278">
        <v>8505230</v>
      </c>
      <c r="O4" s="278">
        <v>10476320</v>
      </c>
      <c r="P4" s="278">
        <v>10944270</v>
      </c>
      <c r="Q4" s="278">
        <v>558570</v>
      </c>
      <c r="R4" s="278">
        <v>235020</v>
      </c>
      <c r="S4" s="278">
        <v>0</v>
      </c>
      <c r="T4" s="278">
        <v>0</v>
      </c>
      <c r="U4" s="278">
        <v>0</v>
      </c>
      <c r="V4" s="279">
        <v>44873360</v>
      </c>
      <c r="W4" s="280"/>
    </row>
    <row r="5" spans="1:23" ht="21" x14ac:dyDescent="0.35">
      <c r="A5" s="217" t="s">
        <v>69</v>
      </c>
      <c r="B5" s="218" t="s">
        <v>77</v>
      </c>
      <c r="C5" s="218" t="s">
        <v>76</v>
      </c>
      <c r="D5" s="219" t="s">
        <v>71</v>
      </c>
      <c r="E5" s="219" t="s">
        <v>72</v>
      </c>
      <c r="F5" s="219" t="s">
        <v>73</v>
      </c>
      <c r="G5" s="220" t="s">
        <v>188</v>
      </c>
      <c r="H5" s="220" t="s">
        <v>189</v>
      </c>
      <c r="I5" s="220" t="s">
        <v>190</v>
      </c>
      <c r="J5" s="220" t="s">
        <v>539</v>
      </c>
      <c r="K5" s="220" t="s">
        <v>540</v>
      </c>
      <c r="L5" s="218" t="s">
        <v>75</v>
      </c>
      <c r="M5" s="221"/>
      <c r="N5" s="219" t="s">
        <v>71</v>
      </c>
      <c r="O5" s="219" t="s">
        <v>72</v>
      </c>
      <c r="P5" s="219" t="s">
        <v>73</v>
      </c>
      <c r="Q5" s="220" t="s">
        <v>188</v>
      </c>
      <c r="R5" s="220" t="s">
        <v>189</v>
      </c>
      <c r="S5" s="220" t="s">
        <v>190</v>
      </c>
      <c r="T5" s="220" t="s">
        <v>539</v>
      </c>
      <c r="U5" s="220" t="s">
        <v>540</v>
      </c>
      <c r="V5" s="218" t="s">
        <v>75</v>
      </c>
      <c r="W5" s="215"/>
    </row>
    <row r="6" spans="1:23" s="211" customFormat="1" ht="40.5" customHeight="1" x14ac:dyDescent="0.3">
      <c r="A6" s="775" t="s">
        <v>731</v>
      </c>
      <c r="B6" s="776"/>
      <c r="C6" s="777"/>
      <c r="D6" s="278">
        <v>3015250</v>
      </c>
      <c r="E6" s="278">
        <v>3372260</v>
      </c>
      <c r="F6" s="278">
        <v>1949420</v>
      </c>
      <c r="G6" s="278">
        <v>3387470</v>
      </c>
      <c r="H6" s="278">
        <v>945380</v>
      </c>
      <c r="I6" s="278">
        <v>1762610</v>
      </c>
      <c r="J6" s="278">
        <v>0</v>
      </c>
      <c r="K6" s="278">
        <v>0</v>
      </c>
      <c r="L6" s="279">
        <v>14432390</v>
      </c>
      <c r="M6" s="221"/>
      <c r="N6" s="278">
        <v>5939300</v>
      </c>
      <c r="O6" s="278">
        <v>9910540</v>
      </c>
      <c r="P6" s="278">
        <v>7647220</v>
      </c>
      <c r="Q6" s="278">
        <v>8706200</v>
      </c>
      <c r="R6" s="278">
        <v>9116120</v>
      </c>
      <c r="S6" s="278">
        <v>8450770</v>
      </c>
      <c r="T6" s="278">
        <v>0</v>
      </c>
      <c r="U6" s="278">
        <v>0</v>
      </c>
      <c r="V6" s="279">
        <v>49770150</v>
      </c>
      <c r="W6" s="280"/>
    </row>
    <row r="7" spans="1:23" ht="21" x14ac:dyDescent="0.35">
      <c r="A7" s="217" t="s">
        <v>69</v>
      </c>
      <c r="B7" s="218" t="s">
        <v>77</v>
      </c>
      <c r="C7" s="218" t="s">
        <v>76</v>
      </c>
      <c r="D7" s="219" t="s">
        <v>71</v>
      </c>
      <c r="E7" s="219" t="s">
        <v>72</v>
      </c>
      <c r="F7" s="219" t="s">
        <v>73</v>
      </c>
      <c r="G7" s="220" t="s">
        <v>188</v>
      </c>
      <c r="H7" s="220" t="s">
        <v>189</v>
      </c>
      <c r="I7" s="220" t="s">
        <v>190</v>
      </c>
      <c r="J7" s="220" t="s">
        <v>539</v>
      </c>
      <c r="K7" s="220" t="s">
        <v>540</v>
      </c>
      <c r="L7" s="218" t="s">
        <v>75</v>
      </c>
      <c r="M7" s="221"/>
      <c r="N7" s="219" t="s">
        <v>71</v>
      </c>
      <c r="O7" s="219" t="s">
        <v>72</v>
      </c>
      <c r="P7" s="219" t="s">
        <v>73</v>
      </c>
      <c r="Q7" s="220" t="s">
        <v>188</v>
      </c>
      <c r="R7" s="220" t="s">
        <v>189</v>
      </c>
      <c r="S7" s="220" t="s">
        <v>190</v>
      </c>
      <c r="T7" s="220" t="s">
        <v>539</v>
      </c>
      <c r="U7" s="220" t="s">
        <v>540</v>
      </c>
      <c r="V7" s="218" t="s">
        <v>75</v>
      </c>
      <c r="W7" s="215"/>
    </row>
    <row r="8" spans="1:23" ht="21" x14ac:dyDescent="0.35">
      <c r="A8" s="782" t="s">
        <v>249</v>
      </c>
      <c r="B8" s="222" t="s">
        <v>2</v>
      </c>
      <c r="C8" s="222" t="s">
        <v>67</v>
      </c>
      <c r="D8" s="228">
        <v>247710</v>
      </c>
      <c r="E8" s="228">
        <v>100370</v>
      </c>
      <c r="F8" s="228">
        <v>0</v>
      </c>
      <c r="G8" s="228">
        <v>209460</v>
      </c>
      <c r="H8" s="228">
        <v>0</v>
      </c>
      <c r="I8" s="228">
        <v>0</v>
      </c>
      <c r="J8" s="228"/>
      <c r="K8" s="228"/>
      <c r="L8" s="228">
        <f t="shared" ref="L8:L13" si="0">SUM(D8:I8)</f>
        <v>557540</v>
      </c>
      <c r="M8" s="221"/>
      <c r="N8" s="228">
        <v>920</v>
      </c>
      <c r="O8" s="228">
        <v>18980</v>
      </c>
      <c r="P8" s="228">
        <v>2310</v>
      </c>
      <c r="Q8" s="228">
        <v>0</v>
      </c>
      <c r="R8" s="228">
        <v>0</v>
      </c>
      <c r="S8" s="228">
        <v>0</v>
      </c>
      <c r="T8" s="228"/>
      <c r="U8" s="228"/>
      <c r="V8" s="229">
        <f t="shared" ref="V8:V13" si="1">SUM(N8:S8)</f>
        <v>22210</v>
      </c>
      <c r="W8" s="215"/>
    </row>
    <row r="9" spans="1:23" ht="21" x14ac:dyDescent="0.35">
      <c r="A9" s="783"/>
      <c r="B9" s="222" t="s">
        <v>2</v>
      </c>
      <c r="C9" s="222" t="s">
        <v>65</v>
      </c>
      <c r="D9" s="228">
        <v>0</v>
      </c>
      <c r="E9" s="228">
        <v>0</v>
      </c>
      <c r="F9" s="228">
        <v>0</v>
      </c>
      <c r="G9" s="228">
        <v>0</v>
      </c>
      <c r="H9" s="228">
        <v>0</v>
      </c>
      <c r="I9" s="228">
        <v>0</v>
      </c>
      <c r="J9" s="228"/>
      <c r="K9" s="228"/>
      <c r="L9" s="228">
        <f t="shared" si="0"/>
        <v>0</v>
      </c>
      <c r="M9" s="223"/>
      <c r="N9" s="228">
        <v>423950</v>
      </c>
      <c r="O9" s="228">
        <v>6340</v>
      </c>
      <c r="P9" s="228">
        <v>31560</v>
      </c>
      <c r="Q9" s="228">
        <v>0</v>
      </c>
      <c r="R9" s="228">
        <v>0</v>
      </c>
      <c r="S9" s="228">
        <v>0</v>
      </c>
      <c r="T9" s="228"/>
      <c r="U9" s="228"/>
      <c r="V9" s="229">
        <f t="shared" si="1"/>
        <v>461850</v>
      </c>
      <c r="W9" s="215"/>
    </row>
    <row r="10" spans="1:23" ht="21" x14ac:dyDescent="0.35">
      <c r="A10" s="783"/>
      <c r="B10" s="222" t="s">
        <v>2</v>
      </c>
      <c r="C10" s="222" t="s">
        <v>74</v>
      </c>
      <c r="D10" s="228">
        <v>2297070</v>
      </c>
      <c r="E10" s="228">
        <v>1000950</v>
      </c>
      <c r="F10" s="228">
        <v>1457820</v>
      </c>
      <c r="G10" s="228">
        <v>505570</v>
      </c>
      <c r="H10" s="228">
        <v>0</v>
      </c>
      <c r="I10" s="228">
        <v>0</v>
      </c>
      <c r="J10" s="228"/>
      <c r="K10" s="228"/>
      <c r="L10" s="228">
        <f t="shared" si="0"/>
        <v>5261410</v>
      </c>
      <c r="M10" s="223"/>
      <c r="N10" s="228">
        <v>0</v>
      </c>
      <c r="O10" s="228">
        <v>8770</v>
      </c>
      <c r="P10" s="228">
        <v>67260</v>
      </c>
      <c r="Q10" s="228">
        <v>0</v>
      </c>
      <c r="R10" s="228">
        <v>25600</v>
      </c>
      <c r="S10" s="228">
        <v>8460</v>
      </c>
      <c r="T10" s="228"/>
      <c r="U10" s="228"/>
      <c r="V10" s="229">
        <f t="shared" si="1"/>
        <v>110090</v>
      </c>
      <c r="W10" s="215"/>
    </row>
    <row r="11" spans="1:23" ht="21" x14ac:dyDescent="0.35">
      <c r="A11" s="783"/>
      <c r="B11" s="222" t="s">
        <v>2</v>
      </c>
      <c r="C11" s="222" t="s">
        <v>138</v>
      </c>
      <c r="D11" s="228">
        <v>268770</v>
      </c>
      <c r="E11" s="228">
        <v>758320</v>
      </c>
      <c r="F11" s="228">
        <v>0</v>
      </c>
      <c r="G11" s="228">
        <v>0</v>
      </c>
      <c r="H11" s="228">
        <v>0</v>
      </c>
      <c r="I11" s="228">
        <v>0</v>
      </c>
      <c r="J11" s="228"/>
      <c r="K11" s="228"/>
      <c r="L11" s="228">
        <f t="shared" si="0"/>
        <v>1027090</v>
      </c>
      <c r="M11" s="223"/>
      <c r="N11" s="228">
        <v>559030</v>
      </c>
      <c r="O11" s="228">
        <v>609860</v>
      </c>
      <c r="P11" s="228">
        <v>8480</v>
      </c>
      <c r="Q11" s="228">
        <v>0</v>
      </c>
      <c r="R11" s="228">
        <v>0</v>
      </c>
      <c r="S11" s="228">
        <v>0</v>
      </c>
      <c r="T11" s="228"/>
      <c r="U11" s="228"/>
      <c r="V11" s="229">
        <f t="shared" si="1"/>
        <v>1177370</v>
      </c>
      <c r="W11" s="215"/>
    </row>
    <row r="12" spans="1:23" ht="21" x14ac:dyDescent="0.35">
      <c r="A12" s="783"/>
      <c r="B12" s="222" t="s">
        <v>2</v>
      </c>
      <c r="C12" s="222" t="s">
        <v>167</v>
      </c>
      <c r="D12" s="228">
        <v>0</v>
      </c>
      <c r="E12" s="228">
        <v>0</v>
      </c>
      <c r="F12" s="228">
        <v>0</v>
      </c>
      <c r="G12" s="228">
        <v>0</v>
      </c>
      <c r="H12" s="228">
        <v>0</v>
      </c>
      <c r="I12" s="228">
        <v>0</v>
      </c>
      <c r="J12" s="228"/>
      <c r="K12" s="228"/>
      <c r="L12" s="228">
        <f t="shared" si="0"/>
        <v>0</v>
      </c>
      <c r="M12" s="223"/>
      <c r="N12" s="228">
        <v>154590</v>
      </c>
      <c r="O12" s="228">
        <v>6650</v>
      </c>
      <c r="P12" s="228">
        <v>4560</v>
      </c>
      <c r="Q12" s="228">
        <v>570720</v>
      </c>
      <c r="R12" s="228">
        <v>173710</v>
      </c>
      <c r="S12" s="228">
        <v>3110</v>
      </c>
      <c r="T12" s="228"/>
      <c r="U12" s="228"/>
      <c r="V12" s="229">
        <f t="shared" si="1"/>
        <v>913340</v>
      </c>
      <c r="W12" s="215"/>
    </row>
    <row r="13" spans="1:23" ht="21" x14ac:dyDescent="0.35">
      <c r="A13" s="784"/>
      <c r="B13" s="222" t="s">
        <v>2</v>
      </c>
      <c r="C13" s="222" t="s">
        <v>292</v>
      </c>
      <c r="D13" s="228">
        <v>0</v>
      </c>
      <c r="E13" s="228">
        <v>198640</v>
      </c>
      <c r="F13" s="228">
        <v>0</v>
      </c>
      <c r="G13" s="228">
        <v>0</v>
      </c>
      <c r="H13" s="228">
        <v>0</v>
      </c>
      <c r="I13" s="228">
        <v>0</v>
      </c>
      <c r="J13" s="228"/>
      <c r="K13" s="228"/>
      <c r="L13" s="228">
        <f t="shared" si="0"/>
        <v>198640</v>
      </c>
      <c r="M13" s="223"/>
      <c r="N13" s="228">
        <v>0</v>
      </c>
      <c r="O13" s="228">
        <v>0</v>
      </c>
      <c r="P13" s="228">
        <v>0</v>
      </c>
      <c r="Q13" s="228">
        <v>0</v>
      </c>
      <c r="R13" s="228">
        <v>0</v>
      </c>
      <c r="S13" s="228">
        <v>0</v>
      </c>
      <c r="T13" s="228"/>
      <c r="U13" s="228"/>
      <c r="V13" s="229">
        <f t="shared" si="1"/>
        <v>0</v>
      </c>
      <c r="W13" s="215"/>
    </row>
    <row r="14" spans="1:23" ht="21" x14ac:dyDescent="0.35">
      <c r="A14" s="226"/>
      <c r="B14" s="227"/>
      <c r="C14" s="227"/>
      <c r="D14" s="227">
        <f t="shared" ref="D14:L14" si="2">SUM(D8:D13)</f>
        <v>2813550</v>
      </c>
      <c r="E14" s="227">
        <f t="shared" si="2"/>
        <v>2058280</v>
      </c>
      <c r="F14" s="227">
        <f t="shared" si="2"/>
        <v>1457820</v>
      </c>
      <c r="G14" s="227">
        <f t="shared" si="2"/>
        <v>715030</v>
      </c>
      <c r="H14" s="227">
        <f t="shared" si="2"/>
        <v>0</v>
      </c>
      <c r="I14" s="227">
        <f t="shared" si="2"/>
        <v>0</v>
      </c>
      <c r="J14" s="227"/>
      <c r="K14" s="227"/>
      <c r="L14" s="227">
        <f t="shared" si="2"/>
        <v>7044680</v>
      </c>
      <c r="M14" s="223"/>
      <c r="N14" s="227">
        <f t="shared" ref="N14:V14" si="3">SUM(N8:N13)</f>
        <v>1138490</v>
      </c>
      <c r="O14" s="227">
        <f t="shared" si="3"/>
        <v>650600</v>
      </c>
      <c r="P14" s="227">
        <f t="shared" si="3"/>
        <v>114170</v>
      </c>
      <c r="Q14" s="227">
        <f t="shared" si="3"/>
        <v>570720</v>
      </c>
      <c r="R14" s="227">
        <f t="shared" si="3"/>
        <v>199310</v>
      </c>
      <c r="S14" s="227">
        <f t="shared" si="3"/>
        <v>11570</v>
      </c>
      <c r="T14" s="227"/>
      <c r="U14" s="227"/>
      <c r="V14" s="227">
        <f t="shared" si="3"/>
        <v>2684860</v>
      </c>
      <c r="W14" s="215"/>
    </row>
    <row r="15" spans="1:23" ht="21" x14ac:dyDescent="0.35">
      <c r="A15" s="217" t="s">
        <v>69</v>
      </c>
      <c r="B15" s="218" t="s">
        <v>77</v>
      </c>
      <c r="C15" s="218" t="s">
        <v>76</v>
      </c>
      <c r="D15" s="219" t="s">
        <v>71</v>
      </c>
      <c r="E15" s="219" t="s">
        <v>72</v>
      </c>
      <c r="F15" s="219" t="s">
        <v>73</v>
      </c>
      <c r="G15" s="220" t="s">
        <v>188</v>
      </c>
      <c r="H15" s="220" t="s">
        <v>189</v>
      </c>
      <c r="I15" s="220" t="s">
        <v>190</v>
      </c>
      <c r="J15" s="220" t="s">
        <v>539</v>
      </c>
      <c r="K15" s="220" t="s">
        <v>540</v>
      </c>
      <c r="L15" s="218" t="s">
        <v>75</v>
      </c>
      <c r="M15" s="221"/>
      <c r="N15" s="219" t="s">
        <v>71</v>
      </c>
      <c r="O15" s="219" t="s">
        <v>72</v>
      </c>
      <c r="P15" s="219" t="s">
        <v>73</v>
      </c>
      <c r="Q15" s="220" t="s">
        <v>188</v>
      </c>
      <c r="R15" s="220" t="s">
        <v>189</v>
      </c>
      <c r="S15" s="220" t="s">
        <v>190</v>
      </c>
      <c r="T15" s="220" t="s">
        <v>539</v>
      </c>
      <c r="U15" s="220" t="s">
        <v>540</v>
      </c>
      <c r="V15" s="218" t="s">
        <v>75</v>
      </c>
      <c r="W15" s="215"/>
    </row>
    <row r="16" spans="1:23" ht="21" x14ac:dyDescent="0.35">
      <c r="A16" s="782" t="s">
        <v>298</v>
      </c>
      <c r="B16" s="222" t="s">
        <v>2</v>
      </c>
      <c r="C16" s="222" t="s">
        <v>67</v>
      </c>
      <c r="D16" s="228">
        <v>431430</v>
      </c>
      <c r="E16" s="228">
        <v>149960</v>
      </c>
      <c r="F16" s="228">
        <v>2483170</v>
      </c>
      <c r="G16" s="228">
        <v>439190</v>
      </c>
      <c r="H16" s="228">
        <v>614640</v>
      </c>
      <c r="I16" s="228">
        <v>208740</v>
      </c>
      <c r="J16" s="228"/>
      <c r="K16" s="228"/>
      <c r="L16" s="228">
        <f t="shared" ref="L16:L21" si="4">SUM(D16:I16)</f>
        <v>4327130</v>
      </c>
      <c r="M16" s="221"/>
      <c r="N16" s="228">
        <v>80990</v>
      </c>
      <c r="O16" s="228">
        <v>0</v>
      </c>
      <c r="P16" s="228">
        <v>0</v>
      </c>
      <c r="Q16" s="228">
        <v>0</v>
      </c>
      <c r="R16" s="228">
        <v>0</v>
      </c>
      <c r="S16" s="228">
        <v>0</v>
      </c>
      <c r="T16" s="228"/>
      <c r="U16" s="228"/>
      <c r="V16" s="229">
        <f t="shared" ref="V16:V21" si="5">SUM(N16:S16)</f>
        <v>80990</v>
      </c>
      <c r="W16" s="215"/>
    </row>
    <row r="17" spans="1:23" ht="21" x14ac:dyDescent="0.35">
      <c r="A17" s="783"/>
      <c r="B17" s="222" t="s">
        <v>2</v>
      </c>
      <c r="C17" s="222" t="s">
        <v>65</v>
      </c>
      <c r="D17" s="228">
        <v>752990</v>
      </c>
      <c r="E17" s="228">
        <v>0</v>
      </c>
      <c r="F17" s="228">
        <v>74750</v>
      </c>
      <c r="G17" s="228">
        <v>957220</v>
      </c>
      <c r="H17" s="228">
        <v>25280</v>
      </c>
      <c r="I17" s="228">
        <v>0</v>
      </c>
      <c r="J17" s="228"/>
      <c r="K17" s="228"/>
      <c r="L17" s="228">
        <f t="shared" si="4"/>
        <v>1810240</v>
      </c>
      <c r="M17" s="223"/>
      <c r="N17" s="228">
        <v>0</v>
      </c>
      <c r="O17" s="228">
        <v>0</v>
      </c>
      <c r="P17" s="228">
        <v>0</v>
      </c>
      <c r="Q17" s="228">
        <v>0</v>
      </c>
      <c r="R17" s="228">
        <v>0</v>
      </c>
      <c r="S17" s="228">
        <v>0</v>
      </c>
      <c r="T17" s="228"/>
      <c r="U17" s="228"/>
      <c r="V17" s="229">
        <f t="shared" si="5"/>
        <v>0</v>
      </c>
      <c r="W17" s="215"/>
    </row>
    <row r="18" spans="1:23" ht="21" x14ac:dyDescent="0.35">
      <c r="A18" s="783"/>
      <c r="B18" s="222" t="s">
        <v>2</v>
      </c>
      <c r="C18" s="222" t="s">
        <v>74</v>
      </c>
      <c r="D18" s="228">
        <v>841710</v>
      </c>
      <c r="E18" s="228">
        <v>793870</v>
      </c>
      <c r="F18" s="228">
        <v>926250</v>
      </c>
      <c r="G18" s="228">
        <v>166290</v>
      </c>
      <c r="H18" s="228">
        <v>0</v>
      </c>
      <c r="I18" s="228">
        <v>1288620</v>
      </c>
      <c r="J18" s="228"/>
      <c r="K18" s="228"/>
      <c r="L18" s="228">
        <f t="shared" si="4"/>
        <v>4016740</v>
      </c>
      <c r="M18" s="223"/>
      <c r="N18" s="228">
        <v>0</v>
      </c>
      <c r="O18" s="228">
        <v>0</v>
      </c>
      <c r="P18" s="228">
        <v>245240</v>
      </c>
      <c r="Q18" s="228">
        <v>16600</v>
      </c>
      <c r="R18" s="228">
        <v>0</v>
      </c>
      <c r="S18" s="228">
        <v>105640</v>
      </c>
      <c r="T18" s="228"/>
      <c r="U18" s="228"/>
      <c r="V18" s="229">
        <f t="shared" si="5"/>
        <v>367480</v>
      </c>
      <c r="W18" s="215"/>
    </row>
    <row r="19" spans="1:23" ht="21" x14ac:dyDescent="0.35">
      <c r="A19" s="783"/>
      <c r="B19" s="222" t="s">
        <v>2</v>
      </c>
      <c r="C19" s="222" t="s">
        <v>138</v>
      </c>
      <c r="D19" s="228">
        <v>166170</v>
      </c>
      <c r="E19" s="228">
        <v>271180</v>
      </c>
      <c r="F19" s="228">
        <v>546240</v>
      </c>
      <c r="G19" s="228">
        <v>0</v>
      </c>
      <c r="H19" s="228">
        <v>0</v>
      </c>
      <c r="I19" s="228">
        <v>0</v>
      </c>
      <c r="J19" s="228"/>
      <c r="K19" s="228"/>
      <c r="L19" s="228">
        <f t="shared" si="4"/>
        <v>983590</v>
      </c>
      <c r="M19" s="223"/>
      <c r="N19" s="228">
        <v>0</v>
      </c>
      <c r="O19" s="228">
        <v>0</v>
      </c>
      <c r="P19" s="228">
        <v>0</v>
      </c>
      <c r="Q19" s="228">
        <v>0</v>
      </c>
      <c r="R19" s="228">
        <v>0</v>
      </c>
      <c r="S19" s="228">
        <v>0</v>
      </c>
      <c r="T19" s="228"/>
      <c r="U19" s="228"/>
      <c r="V19" s="229">
        <f t="shared" si="5"/>
        <v>0</v>
      </c>
      <c r="W19" s="215"/>
    </row>
    <row r="20" spans="1:23" ht="21" x14ac:dyDescent="0.35">
      <c r="A20" s="783"/>
      <c r="B20" s="222" t="s">
        <v>2</v>
      </c>
      <c r="C20" s="222" t="s">
        <v>167</v>
      </c>
      <c r="D20" s="228">
        <v>0</v>
      </c>
      <c r="E20" s="228">
        <v>0</v>
      </c>
      <c r="F20" s="228">
        <v>0</v>
      </c>
      <c r="G20" s="228">
        <v>0</v>
      </c>
      <c r="H20" s="228">
        <v>0</v>
      </c>
      <c r="I20" s="228">
        <v>0</v>
      </c>
      <c r="J20" s="228"/>
      <c r="K20" s="228"/>
      <c r="L20" s="228">
        <f t="shared" si="4"/>
        <v>0</v>
      </c>
      <c r="M20" s="223"/>
      <c r="N20" s="228">
        <v>0</v>
      </c>
      <c r="O20" s="228">
        <v>168900</v>
      </c>
      <c r="P20" s="228">
        <v>0</v>
      </c>
      <c r="Q20" s="228">
        <v>0</v>
      </c>
      <c r="R20" s="228">
        <v>356760</v>
      </c>
      <c r="S20" s="228">
        <v>0</v>
      </c>
      <c r="T20" s="228"/>
      <c r="U20" s="228"/>
      <c r="V20" s="229">
        <f t="shared" si="5"/>
        <v>525660</v>
      </c>
      <c r="W20" s="215"/>
    </row>
    <row r="21" spans="1:23" ht="21" x14ac:dyDescent="0.35">
      <c r="A21" s="784"/>
      <c r="B21" s="222" t="s">
        <v>2</v>
      </c>
      <c r="C21" s="222" t="s">
        <v>292</v>
      </c>
      <c r="D21" s="228">
        <v>0</v>
      </c>
      <c r="E21" s="228">
        <v>0</v>
      </c>
      <c r="F21" s="228">
        <v>0</v>
      </c>
      <c r="G21" s="228">
        <v>0</v>
      </c>
      <c r="H21" s="228">
        <v>0</v>
      </c>
      <c r="I21" s="228">
        <v>0</v>
      </c>
      <c r="J21" s="228"/>
      <c r="K21" s="228"/>
      <c r="L21" s="228">
        <f t="shared" si="4"/>
        <v>0</v>
      </c>
      <c r="M21" s="223"/>
      <c r="N21" s="228">
        <v>0</v>
      </c>
      <c r="O21" s="228">
        <v>0</v>
      </c>
      <c r="P21" s="228">
        <v>0</v>
      </c>
      <c r="Q21" s="228">
        <v>0</v>
      </c>
      <c r="R21" s="228">
        <v>0</v>
      </c>
      <c r="S21" s="228">
        <v>0</v>
      </c>
      <c r="T21" s="228"/>
      <c r="U21" s="228"/>
      <c r="V21" s="229">
        <f t="shared" si="5"/>
        <v>0</v>
      </c>
      <c r="W21" s="215"/>
    </row>
    <row r="22" spans="1:23" ht="21" x14ac:dyDescent="0.35">
      <c r="A22" s="231"/>
      <c r="B22" s="232"/>
      <c r="C22" s="232"/>
      <c r="D22" s="232">
        <f t="shared" ref="D22:I22" si="6">SUM(D16:D21)</f>
        <v>2192300</v>
      </c>
      <c r="E22" s="232">
        <f t="shared" si="6"/>
        <v>1215010</v>
      </c>
      <c r="F22" s="232">
        <f t="shared" si="6"/>
        <v>4030410</v>
      </c>
      <c r="G22" s="232">
        <f t="shared" si="6"/>
        <v>1562700</v>
      </c>
      <c r="H22" s="232">
        <f t="shared" si="6"/>
        <v>639920</v>
      </c>
      <c r="I22" s="232">
        <f t="shared" si="6"/>
        <v>1497360</v>
      </c>
      <c r="J22" s="232"/>
      <c r="K22" s="232"/>
      <c r="L22" s="232">
        <f>SUM(L16:L20)</f>
        <v>11137700</v>
      </c>
      <c r="M22" s="233"/>
      <c r="N22" s="232">
        <f t="shared" ref="N22:S22" si="7">SUM(N16:N21)</f>
        <v>80990</v>
      </c>
      <c r="O22" s="232">
        <f t="shared" si="7"/>
        <v>168900</v>
      </c>
      <c r="P22" s="232">
        <f t="shared" si="7"/>
        <v>245240</v>
      </c>
      <c r="Q22" s="232">
        <f t="shared" si="7"/>
        <v>16600</v>
      </c>
      <c r="R22" s="232">
        <f t="shared" si="7"/>
        <v>356760</v>
      </c>
      <c r="S22" s="232">
        <f t="shared" si="7"/>
        <v>105640</v>
      </c>
      <c r="T22" s="232"/>
      <c r="U22" s="232"/>
      <c r="V22" s="232">
        <f>SUM(V16:V20)</f>
        <v>974130</v>
      </c>
      <c r="W22" s="234"/>
    </row>
    <row r="23" spans="1:23" ht="21" x14ac:dyDescent="0.35">
      <c r="A23" s="217" t="s">
        <v>69</v>
      </c>
      <c r="B23" s="218" t="s">
        <v>77</v>
      </c>
      <c r="C23" s="218" t="s">
        <v>76</v>
      </c>
      <c r="D23" s="219" t="s">
        <v>71</v>
      </c>
      <c r="E23" s="219" t="s">
        <v>72</v>
      </c>
      <c r="F23" s="219" t="s">
        <v>73</v>
      </c>
      <c r="G23" s="220" t="s">
        <v>188</v>
      </c>
      <c r="H23" s="220" t="s">
        <v>189</v>
      </c>
      <c r="I23" s="220" t="s">
        <v>190</v>
      </c>
      <c r="J23" s="220" t="s">
        <v>539</v>
      </c>
      <c r="K23" s="220" t="s">
        <v>540</v>
      </c>
      <c r="L23" s="218" t="s">
        <v>75</v>
      </c>
      <c r="M23" s="221"/>
      <c r="N23" s="219" t="s">
        <v>71</v>
      </c>
      <c r="O23" s="219" t="s">
        <v>72</v>
      </c>
      <c r="P23" s="219" t="s">
        <v>73</v>
      </c>
      <c r="Q23" s="220" t="s">
        <v>188</v>
      </c>
      <c r="R23" s="220" t="s">
        <v>189</v>
      </c>
      <c r="S23" s="220" t="s">
        <v>190</v>
      </c>
      <c r="T23" s="220" t="s">
        <v>539</v>
      </c>
      <c r="U23" s="220" t="s">
        <v>540</v>
      </c>
      <c r="V23" s="218" t="s">
        <v>75</v>
      </c>
      <c r="W23" s="215"/>
    </row>
    <row r="24" spans="1:23" ht="21" x14ac:dyDescent="0.35">
      <c r="A24" s="782" t="s">
        <v>479</v>
      </c>
      <c r="B24" s="222" t="s">
        <v>2</v>
      </c>
      <c r="C24" s="222" t="s">
        <v>67</v>
      </c>
      <c r="D24" s="228">
        <v>190230</v>
      </c>
      <c r="E24" s="228">
        <v>1124180</v>
      </c>
      <c r="F24" s="228">
        <v>528070</v>
      </c>
      <c r="G24" s="228">
        <v>615220</v>
      </c>
      <c r="H24" s="228">
        <v>637790</v>
      </c>
      <c r="I24" s="228">
        <v>1452920</v>
      </c>
      <c r="J24" s="228"/>
      <c r="K24" s="228"/>
      <c r="L24" s="228">
        <f t="shared" ref="L24:L29" si="8">SUM(D24:I24)</f>
        <v>4548410</v>
      </c>
      <c r="M24" s="221"/>
      <c r="N24" s="228">
        <v>298040</v>
      </c>
      <c r="O24" s="228">
        <v>0</v>
      </c>
      <c r="P24" s="228">
        <v>0</v>
      </c>
      <c r="Q24" s="228">
        <v>400500</v>
      </c>
      <c r="R24" s="228">
        <v>0</v>
      </c>
      <c r="S24" s="228">
        <v>0</v>
      </c>
      <c r="T24" s="228"/>
      <c r="U24" s="228"/>
      <c r="V24" s="229">
        <f t="shared" ref="V24:V29" si="9">SUM(N24:S24)</f>
        <v>698540</v>
      </c>
      <c r="W24" s="215"/>
    </row>
    <row r="25" spans="1:23" ht="21" x14ac:dyDescent="0.35">
      <c r="A25" s="783"/>
      <c r="B25" s="222" t="s">
        <v>2</v>
      </c>
      <c r="C25" s="222" t="s">
        <v>65</v>
      </c>
      <c r="D25" s="228">
        <v>639400</v>
      </c>
      <c r="E25" s="228">
        <v>184510</v>
      </c>
      <c r="F25" s="228">
        <v>0</v>
      </c>
      <c r="G25" s="228">
        <v>50220</v>
      </c>
      <c r="H25" s="228">
        <v>0</v>
      </c>
      <c r="I25" s="228">
        <v>0</v>
      </c>
      <c r="J25" s="228"/>
      <c r="K25" s="228"/>
      <c r="L25" s="228">
        <f t="shared" si="8"/>
        <v>874130</v>
      </c>
      <c r="M25" s="223"/>
      <c r="N25" s="228">
        <v>0</v>
      </c>
      <c r="O25" s="228">
        <v>0</v>
      </c>
      <c r="P25" s="228">
        <v>0</v>
      </c>
      <c r="Q25" s="228">
        <v>0</v>
      </c>
      <c r="R25" s="228">
        <v>0</v>
      </c>
      <c r="S25" s="228">
        <v>0</v>
      </c>
      <c r="T25" s="228"/>
      <c r="U25" s="228"/>
      <c r="V25" s="229">
        <f t="shared" si="9"/>
        <v>0</v>
      </c>
      <c r="W25" s="215"/>
    </row>
    <row r="26" spans="1:23" ht="21" x14ac:dyDescent="0.35">
      <c r="A26" s="783"/>
      <c r="B26" s="222" t="s">
        <v>2</v>
      </c>
      <c r="C26" s="222" t="s">
        <v>74</v>
      </c>
      <c r="D26" s="228">
        <v>504100</v>
      </c>
      <c r="E26" s="228">
        <v>310020</v>
      </c>
      <c r="F26" s="228">
        <v>0</v>
      </c>
      <c r="G26" s="228">
        <v>1029290</v>
      </c>
      <c r="H26" s="228">
        <v>0</v>
      </c>
      <c r="I26" s="228">
        <v>0</v>
      </c>
      <c r="J26" s="228"/>
      <c r="K26" s="228"/>
      <c r="L26" s="228">
        <f t="shared" si="8"/>
        <v>1843410</v>
      </c>
      <c r="M26" s="223"/>
      <c r="N26" s="228">
        <v>0</v>
      </c>
      <c r="O26" s="228">
        <v>0</v>
      </c>
      <c r="P26" s="228">
        <v>0</v>
      </c>
      <c r="Q26" s="228">
        <v>0</v>
      </c>
      <c r="R26" s="228">
        <v>0</v>
      </c>
      <c r="S26" s="228">
        <v>0</v>
      </c>
      <c r="T26" s="228"/>
      <c r="U26" s="228"/>
      <c r="V26" s="229">
        <f t="shared" si="9"/>
        <v>0</v>
      </c>
      <c r="W26" s="215"/>
    </row>
    <row r="27" spans="1:23" ht="21" x14ac:dyDescent="0.35">
      <c r="A27" s="783"/>
      <c r="B27" s="222" t="s">
        <v>2</v>
      </c>
      <c r="C27" s="222" t="s">
        <v>138</v>
      </c>
      <c r="D27" s="228">
        <v>454580</v>
      </c>
      <c r="E27" s="228">
        <v>590940</v>
      </c>
      <c r="F27" s="228">
        <v>814620</v>
      </c>
      <c r="G27" s="228">
        <v>1515430</v>
      </c>
      <c r="H27" s="228">
        <v>78380</v>
      </c>
      <c r="I27" s="228">
        <v>1979030</v>
      </c>
      <c r="J27" s="228"/>
      <c r="K27" s="228"/>
      <c r="L27" s="228">
        <f t="shared" si="8"/>
        <v>5432980</v>
      </c>
      <c r="M27" s="223"/>
      <c r="N27" s="228">
        <v>640820</v>
      </c>
      <c r="O27" s="228">
        <v>0</v>
      </c>
      <c r="P27" s="228">
        <v>0</v>
      </c>
      <c r="Q27" s="228">
        <v>0</v>
      </c>
      <c r="R27" s="228">
        <v>0</v>
      </c>
      <c r="S27" s="228">
        <v>0</v>
      </c>
      <c r="T27" s="228"/>
      <c r="U27" s="228"/>
      <c r="V27" s="229">
        <f t="shared" si="9"/>
        <v>640820</v>
      </c>
      <c r="W27" s="215"/>
    </row>
    <row r="28" spans="1:23" ht="21" x14ac:dyDescent="0.35">
      <c r="A28" s="783"/>
      <c r="B28" s="222" t="s">
        <v>2</v>
      </c>
      <c r="C28" s="222" t="s">
        <v>167</v>
      </c>
      <c r="D28" s="228">
        <v>0</v>
      </c>
      <c r="E28" s="228">
        <v>0</v>
      </c>
      <c r="F28" s="228">
        <v>0</v>
      </c>
      <c r="G28" s="228">
        <v>0</v>
      </c>
      <c r="H28" s="228">
        <v>0</v>
      </c>
      <c r="I28" s="228">
        <v>0</v>
      </c>
      <c r="J28" s="228"/>
      <c r="K28" s="228"/>
      <c r="L28" s="228">
        <f t="shared" si="8"/>
        <v>0</v>
      </c>
      <c r="M28" s="223"/>
      <c r="N28" s="228">
        <v>0</v>
      </c>
      <c r="O28" s="228">
        <v>410410</v>
      </c>
      <c r="P28" s="228">
        <v>338920</v>
      </c>
      <c r="Q28" s="228">
        <v>264520</v>
      </c>
      <c r="R28" s="228">
        <v>0</v>
      </c>
      <c r="S28" s="228">
        <v>0</v>
      </c>
      <c r="T28" s="228"/>
      <c r="U28" s="228"/>
      <c r="V28" s="229">
        <f t="shared" si="9"/>
        <v>1013850</v>
      </c>
      <c r="W28" s="215"/>
    </row>
    <row r="29" spans="1:23" ht="21" x14ac:dyDescent="0.35">
      <c r="A29" s="784"/>
      <c r="B29" s="222" t="s">
        <v>2</v>
      </c>
      <c r="C29" s="222" t="s">
        <v>292</v>
      </c>
      <c r="D29" s="228">
        <v>0</v>
      </c>
      <c r="E29" s="228">
        <v>0</v>
      </c>
      <c r="F29" s="228">
        <v>0</v>
      </c>
      <c r="G29" s="228">
        <v>0</v>
      </c>
      <c r="H29" s="228">
        <v>0</v>
      </c>
      <c r="I29" s="228">
        <v>0</v>
      </c>
      <c r="J29" s="228"/>
      <c r="K29" s="228"/>
      <c r="L29" s="228">
        <f t="shared" si="8"/>
        <v>0</v>
      </c>
      <c r="M29" s="223"/>
      <c r="N29" s="228">
        <v>0</v>
      </c>
      <c r="O29" s="228">
        <v>0</v>
      </c>
      <c r="P29" s="228">
        <v>0</v>
      </c>
      <c r="Q29" s="228">
        <v>0</v>
      </c>
      <c r="R29" s="228">
        <v>0</v>
      </c>
      <c r="S29" s="228">
        <v>0</v>
      </c>
      <c r="T29" s="228"/>
      <c r="U29" s="228"/>
      <c r="V29" s="229">
        <f t="shared" si="9"/>
        <v>0</v>
      </c>
      <c r="W29" s="215"/>
    </row>
    <row r="30" spans="1:23" ht="21" x14ac:dyDescent="0.35">
      <c r="A30" s="231"/>
      <c r="B30" s="232"/>
      <c r="C30" s="232"/>
      <c r="D30" s="232">
        <f t="shared" ref="D30:I30" si="10">SUM(D24:D29)</f>
        <v>1788310</v>
      </c>
      <c r="E30" s="232">
        <f t="shared" si="10"/>
        <v>2209650</v>
      </c>
      <c r="F30" s="232">
        <f t="shared" si="10"/>
        <v>1342690</v>
      </c>
      <c r="G30" s="232">
        <f t="shared" si="10"/>
        <v>3210160</v>
      </c>
      <c r="H30" s="232">
        <f t="shared" si="10"/>
        <v>716170</v>
      </c>
      <c r="I30" s="232">
        <f t="shared" si="10"/>
        <v>3431950</v>
      </c>
      <c r="J30" s="232"/>
      <c r="K30" s="232"/>
      <c r="L30" s="232">
        <f>SUM(L24:L28)</f>
        <v>12698930</v>
      </c>
      <c r="M30" s="233"/>
      <c r="N30" s="232">
        <f t="shared" ref="N30:S30" si="11">SUM(N24:N29)</f>
        <v>938860</v>
      </c>
      <c r="O30" s="232">
        <f t="shared" si="11"/>
        <v>410410</v>
      </c>
      <c r="P30" s="232">
        <f t="shared" si="11"/>
        <v>338920</v>
      </c>
      <c r="Q30" s="232">
        <f t="shared" si="11"/>
        <v>665020</v>
      </c>
      <c r="R30" s="232">
        <f t="shared" si="11"/>
        <v>0</v>
      </c>
      <c r="S30" s="232">
        <f t="shared" si="11"/>
        <v>0</v>
      </c>
      <c r="T30" s="232"/>
      <c r="U30" s="232"/>
      <c r="V30" s="232">
        <f>SUM(V24:V28)</f>
        <v>2353210</v>
      </c>
      <c r="W30" s="234"/>
    </row>
    <row r="31" spans="1:23" ht="21" x14ac:dyDescent="0.35">
      <c r="A31" s="217" t="s">
        <v>69</v>
      </c>
      <c r="B31" s="218" t="s">
        <v>77</v>
      </c>
      <c r="C31" s="218" t="s">
        <v>76</v>
      </c>
      <c r="D31" s="219" t="s">
        <v>71</v>
      </c>
      <c r="E31" s="219" t="s">
        <v>72</v>
      </c>
      <c r="F31" s="219" t="s">
        <v>73</v>
      </c>
      <c r="G31" s="220" t="s">
        <v>188</v>
      </c>
      <c r="H31" s="220" t="s">
        <v>189</v>
      </c>
      <c r="I31" s="220" t="s">
        <v>190</v>
      </c>
      <c r="J31" s="220" t="s">
        <v>539</v>
      </c>
      <c r="K31" s="220" t="s">
        <v>540</v>
      </c>
      <c r="L31" s="218" t="s">
        <v>75</v>
      </c>
      <c r="M31" s="221"/>
      <c r="N31" s="219" t="s">
        <v>71</v>
      </c>
      <c r="O31" s="219" t="s">
        <v>72</v>
      </c>
      <c r="P31" s="219" t="s">
        <v>73</v>
      </c>
      <c r="Q31" s="220" t="s">
        <v>188</v>
      </c>
      <c r="R31" s="220" t="s">
        <v>189</v>
      </c>
      <c r="S31" s="220" t="s">
        <v>190</v>
      </c>
      <c r="T31" s="220" t="s">
        <v>539</v>
      </c>
      <c r="U31" s="220" t="s">
        <v>540</v>
      </c>
      <c r="V31" s="218" t="s">
        <v>75</v>
      </c>
      <c r="W31" s="215"/>
    </row>
    <row r="32" spans="1:23" ht="21" x14ac:dyDescent="0.35">
      <c r="A32" s="782" t="s">
        <v>480</v>
      </c>
      <c r="B32" s="222" t="s">
        <v>2</v>
      </c>
      <c r="C32" s="222" t="s">
        <v>67</v>
      </c>
      <c r="D32" s="235">
        <v>0</v>
      </c>
      <c r="E32" s="235">
        <v>1932350</v>
      </c>
      <c r="F32" s="235">
        <v>396100</v>
      </c>
      <c r="G32" s="235">
        <v>177660</v>
      </c>
      <c r="H32" s="235">
        <v>3455840</v>
      </c>
      <c r="I32" s="235">
        <v>970700</v>
      </c>
      <c r="J32" s="235">
        <v>0</v>
      </c>
      <c r="K32" s="235">
        <v>2149830</v>
      </c>
      <c r="L32" s="228">
        <f t="shared" ref="L32:L37" si="12">SUM(D32:K32)</f>
        <v>9082480</v>
      </c>
      <c r="M32" s="221"/>
      <c r="N32" s="235">
        <v>0</v>
      </c>
      <c r="O32" s="235">
        <v>0</v>
      </c>
      <c r="P32" s="235">
        <v>485470</v>
      </c>
      <c r="Q32" s="235">
        <v>0</v>
      </c>
      <c r="R32" s="235">
        <v>0</v>
      </c>
      <c r="S32" s="235">
        <v>0</v>
      </c>
      <c r="T32" s="235">
        <v>0</v>
      </c>
      <c r="U32" s="235">
        <v>0</v>
      </c>
      <c r="V32" s="229">
        <f t="shared" ref="V32:V37" si="13">SUM(N32:U32)</f>
        <v>485470</v>
      </c>
      <c r="W32" s="215"/>
    </row>
    <row r="33" spans="1:23" ht="21" x14ac:dyDescent="0.35">
      <c r="A33" s="783"/>
      <c r="B33" s="222" t="s">
        <v>2</v>
      </c>
      <c r="C33" s="222" t="s">
        <v>65</v>
      </c>
      <c r="D33" s="235">
        <v>24470</v>
      </c>
      <c r="E33" s="235">
        <v>0</v>
      </c>
      <c r="F33" s="235">
        <v>0</v>
      </c>
      <c r="G33" s="235">
        <v>0</v>
      </c>
      <c r="H33" s="235">
        <v>124520</v>
      </c>
      <c r="I33" s="235">
        <v>0</v>
      </c>
      <c r="J33" s="235">
        <v>0</v>
      </c>
      <c r="K33" s="235">
        <v>571400</v>
      </c>
      <c r="L33" s="228">
        <f t="shared" si="12"/>
        <v>720390</v>
      </c>
      <c r="M33" s="223"/>
      <c r="N33" s="235">
        <v>0</v>
      </c>
      <c r="O33" s="235">
        <v>0</v>
      </c>
      <c r="P33" s="235">
        <v>0</v>
      </c>
      <c r="Q33" s="235">
        <v>79240</v>
      </c>
      <c r="R33" s="235">
        <v>0</v>
      </c>
      <c r="S33" s="235">
        <v>0</v>
      </c>
      <c r="T33" s="235">
        <v>0</v>
      </c>
      <c r="U33" s="235">
        <v>0</v>
      </c>
      <c r="V33" s="229">
        <f t="shared" si="13"/>
        <v>79240</v>
      </c>
      <c r="W33" s="215"/>
    </row>
    <row r="34" spans="1:23" ht="21" x14ac:dyDescent="0.35">
      <c r="A34" s="783"/>
      <c r="B34" s="222" t="s">
        <v>2</v>
      </c>
      <c r="C34" s="222" t="s">
        <v>74</v>
      </c>
      <c r="D34" s="235">
        <v>0</v>
      </c>
      <c r="E34" s="235">
        <v>0</v>
      </c>
      <c r="F34" s="235">
        <v>0</v>
      </c>
      <c r="G34" s="235">
        <v>127900</v>
      </c>
      <c r="H34" s="235">
        <v>2406020</v>
      </c>
      <c r="I34" s="235">
        <v>102710</v>
      </c>
      <c r="J34" s="235">
        <v>0</v>
      </c>
      <c r="K34" s="235">
        <v>1518950</v>
      </c>
      <c r="L34" s="228">
        <f t="shared" si="12"/>
        <v>4155580</v>
      </c>
      <c r="M34" s="223"/>
      <c r="N34" s="235">
        <v>301230</v>
      </c>
      <c r="O34" s="235">
        <v>0</v>
      </c>
      <c r="P34" s="235">
        <v>0</v>
      </c>
      <c r="Q34" s="235">
        <v>0</v>
      </c>
      <c r="R34" s="235">
        <v>0</v>
      </c>
      <c r="S34" s="235">
        <v>0</v>
      </c>
      <c r="T34" s="235">
        <v>0</v>
      </c>
      <c r="U34" s="235">
        <v>0</v>
      </c>
      <c r="V34" s="229">
        <f t="shared" si="13"/>
        <v>301230</v>
      </c>
      <c r="W34" s="215"/>
    </row>
    <row r="35" spans="1:23" ht="21" x14ac:dyDescent="0.35">
      <c r="A35" s="783"/>
      <c r="B35" s="222" t="s">
        <v>2</v>
      </c>
      <c r="C35" s="222" t="s">
        <v>138</v>
      </c>
      <c r="D35" s="235">
        <v>0</v>
      </c>
      <c r="E35" s="235">
        <v>351580</v>
      </c>
      <c r="F35" s="235">
        <v>0</v>
      </c>
      <c r="G35" s="235">
        <v>80050</v>
      </c>
      <c r="H35" s="235">
        <v>1488270</v>
      </c>
      <c r="I35" s="235">
        <v>1100360</v>
      </c>
      <c r="J35" s="235">
        <v>0</v>
      </c>
      <c r="K35" s="235">
        <v>2005340</v>
      </c>
      <c r="L35" s="228">
        <f t="shared" si="12"/>
        <v>5025600</v>
      </c>
      <c r="M35" s="223"/>
      <c r="N35" s="235">
        <v>0</v>
      </c>
      <c r="O35" s="235">
        <v>0</v>
      </c>
      <c r="P35" s="235">
        <v>199320</v>
      </c>
      <c r="Q35" s="235">
        <v>0</v>
      </c>
      <c r="R35" s="235">
        <v>0</v>
      </c>
      <c r="S35" s="235">
        <v>291820</v>
      </c>
      <c r="T35" s="235">
        <v>0</v>
      </c>
      <c r="U35" s="235">
        <v>0</v>
      </c>
      <c r="V35" s="229">
        <f t="shared" si="13"/>
        <v>491140</v>
      </c>
      <c r="W35" s="215"/>
    </row>
    <row r="36" spans="1:23" ht="21" x14ac:dyDescent="0.35">
      <c r="A36" s="783"/>
      <c r="B36" s="222" t="s">
        <v>2</v>
      </c>
      <c r="C36" s="222" t="s">
        <v>167</v>
      </c>
      <c r="D36" s="235">
        <v>0</v>
      </c>
      <c r="E36" s="235">
        <v>0</v>
      </c>
      <c r="F36" s="235">
        <v>0</v>
      </c>
      <c r="G36" s="235">
        <v>0</v>
      </c>
      <c r="H36" s="235">
        <v>152820</v>
      </c>
      <c r="I36" s="235">
        <v>662890</v>
      </c>
      <c r="J36" s="235">
        <v>0</v>
      </c>
      <c r="K36" s="235">
        <v>2294040</v>
      </c>
      <c r="L36" s="228">
        <f t="shared" si="12"/>
        <v>3109750</v>
      </c>
      <c r="M36" s="223"/>
      <c r="N36" s="235">
        <v>0</v>
      </c>
      <c r="O36" s="235">
        <v>0</v>
      </c>
      <c r="P36" s="235">
        <v>17620</v>
      </c>
      <c r="Q36" s="235">
        <v>340600</v>
      </c>
      <c r="R36" s="235">
        <v>655240</v>
      </c>
      <c r="S36" s="235">
        <v>0</v>
      </c>
      <c r="T36" s="235">
        <v>0</v>
      </c>
      <c r="U36" s="235">
        <v>0</v>
      </c>
      <c r="V36" s="229">
        <f t="shared" si="13"/>
        <v>1013460</v>
      </c>
      <c r="W36" s="215"/>
    </row>
    <row r="37" spans="1:23" ht="21" x14ac:dyDescent="0.35">
      <c r="A37" s="784"/>
      <c r="B37" s="222" t="s">
        <v>2</v>
      </c>
      <c r="C37" s="222" t="s">
        <v>292</v>
      </c>
      <c r="D37" s="235">
        <v>0</v>
      </c>
      <c r="E37" s="235">
        <v>0</v>
      </c>
      <c r="F37" s="235">
        <v>0</v>
      </c>
      <c r="G37" s="235">
        <v>0</v>
      </c>
      <c r="H37" s="235">
        <v>0</v>
      </c>
      <c r="I37" s="235">
        <v>0</v>
      </c>
      <c r="J37" s="235">
        <v>0</v>
      </c>
      <c r="K37" s="235">
        <v>0</v>
      </c>
      <c r="L37" s="228">
        <f t="shared" si="12"/>
        <v>0</v>
      </c>
      <c r="M37" s="223"/>
      <c r="N37" s="235">
        <v>0</v>
      </c>
      <c r="O37" s="235">
        <v>0</v>
      </c>
      <c r="P37" s="235">
        <v>0</v>
      </c>
      <c r="Q37" s="235">
        <v>0</v>
      </c>
      <c r="R37" s="235">
        <v>0</v>
      </c>
      <c r="S37" s="235">
        <v>0</v>
      </c>
      <c r="T37" s="235">
        <v>0</v>
      </c>
      <c r="U37" s="235">
        <v>0</v>
      </c>
      <c r="V37" s="229">
        <f t="shared" si="13"/>
        <v>0</v>
      </c>
      <c r="W37" s="215"/>
    </row>
    <row r="38" spans="1:23" ht="21" x14ac:dyDescent="0.35">
      <c r="A38" s="231"/>
      <c r="B38" s="232"/>
      <c r="C38" s="232"/>
      <c r="D38" s="232">
        <f t="shared" ref="D38:I38" si="14">SUM(D32:D37)</f>
        <v>24470</v>
      </c>
      <c r="E38" s="232">
        <f t="shared" si="14"/>
        <v>2283930</v>
      </c>
      <c r="F38" s="232">
        <f t="shared" si="14"/>
        <v>396100</v>
      </c>
      <c r="G38" s="232">
        <f t="shared" si="14"/>
        <v>385610</v>
      </c>
      <c r="H38" s="232">
        <f t="shared" si="14"/>
        <v>7627470</v>
      </c>
      <c r="I38" s="232">
        <f t="shared" si="14"/>
        <v>2836660</v>
      </c>
      <c r="J38" s="232">
        <f>SUM(J32:J37)</f>
        <v>0</v>
      </c>
      <c r="K38" s="232">
        <f>SUM(K32:K37)</f>
        <v>8539560</v>
      </c>
      <c r="L38" s="232">
        <f>SUM(L32:L37)</f>
        <v>22093800</v>
      </c>
      <c r="M38" s="233"/>
      <c r="N38" s="232">
        <f t="shared" ref="N38:T38" si="15">SUM(N32:N37)</f>
        <v>301230</v>
      </c>
      <c r="O38" s="232">
        <f t="shared" si="15"/>
        <v>0</v>
      </c>
      <c r="P38" s="232">
        <f t="shared" si="15"/>
        <v>702410</v>
      </c>
      <c r="Q38" s="232">
        <f t="shared" si="15"/>
        <v>419840</v>
      </c>
      <c r="R38" s="232">
        <f t="shared" si="15"/>
        <v>655240</v>
      </c>
      <c r="S38" s="232">
        <f t="shared" si="15"/>
        <v>291820</v>
      </c>
      <c r="T38" s="232">
        <f t="shared" si="15"/>
        <v>0</v>
      </c>
      <c r="U38" s="232">
        <f>SUM(U32:U37)</f>
        <v>0</v>
      </c>
      <c r="V38" s="232">
        <f>SUM(V32:V37)</f>
        <v>2370540</v>
      </c>
      <c r="W38" s="234"/>
    </row>
    <row r="39" spans="1:23" ht="21" x14ac:dyDescent="0.35">
      <c r="A39" s="217" t="s">
        <v>69</v>
      </c>
      <c r="B39" s="218" t="s">
        <v>77</v>
      </c>
      <c r="C39" s="218" t="s">
        <v>76</v>
      </c>
      <c r="D39" s="219" t="s">
        <v>71</v>
      </c>
      <c r="E39" s="219" t="s">
        <v>72</v>
      </c>
      <c r="F39" s="219" t="s">
        <v>73</v>
      </c>
      <c r="G39" s="220" t="s">
        <v>188</v>
      </c>
      <c r="H39" s="220" t="s">
        <v>189</v>
      </c>
      <c r="I39" s="220" t="s">
        <v>190</v>
      </c>
      <c r="J39" s="253" t="s">
        <v>539</v>
      </c>
      <c r="K39" s="253" t="s">
        <v>540</v>
      </c>
      <c r="L39" s="218" t="s">
        <v>75</v>
      </c>
      <c r="M39" s="221"/>
      <c r="N39" s="219" t="s">
        <v>71</v>
      </c>
      <c r="O39" s="219" t="s">
        <v>72</v>
      </c>
      <c r="P39" s="219" t="s">
        <v>73</v>
      </c>
      <c r="Q39" s="220" t="s">
        <v>188</v>
      </c>
      <c r="R39" s="220" t="s">
        <v>189</v>
      </c>
      <c r="S39" s="220" t="s">
        <v>190</v>
      </c>
      <c r="T39" s="253" t="s">
        <v>539</v>
      </c>
      <c r="U39" s="253" t="s">
        <v>540</v>
      </c>
      <c r="V39" s="218" t="s">
        <v>75</v>
      </c>
      <c r="W39" s="215"/>
    </row>
    <row r="40" spans="1:23" ht="21" x14ac:dyDescent="0.35">
      <c r="A40" s="782" t="s">
        <v>623</v>
      </c>
      <c r="B40" s="222" t="s">
        <v>2</v>
      </c>
      <c r="C40" s="222" t="s">
        <v>67</v>
      </c>
      <c r="D40" s="235">
        <v>0</v>
      </c>
      <c r="E40" s="235">
        <v>0</v>
      </c>
      <c r="F40" s="235">
        <v>244390</v>
      </c>
      <c r="G40" s="235">
        <v>0</v>
      </c>
      <c r="H40" s="235">
        <v>0</v>
      </c>
      <c r="I40" s="235">
        <v>0</v>
      </c>
      <c r="J40" s="235">
        <v>3529680</v>
      </c>
      <c r="K40" s="235">
        <v>2660810</v>
      </c>
      <c r="L40" s="228">
        <f t="shared" ref="L40:L45" si="16">SUM(D40:K40)</f>
        <v>6434880</v>
      </c>
      <c r="M40" s="221"/>
      <c r="N40" s="235">
        <v>0</v>
      </c>
      <c r="O40" s="235">
        <v>602100</v>
      </c>
      <c r="P40" s="235">
        <v>40480</v>
      </c>
      <c r="Q40" s="235">
        <v>0</v>
      </c>
      <c r="R40" s="235">
        <v>0</v>
      </c>
      <c r="S40" s="235">
        <v>0</v>
      </c>
      <c r="T40" s="235">
        <v>0</v>
      </c>
      <c r="U40" s="235">
        <v>0</v>
      </c>
      <c r="V40" s="229">
        <f t="shared" ref="V40:V45" si="17">SUM(N40:U40)</f>
        <v>642580</v>
      </c>
      <c r="W40" s="215"/>
    </row>
    <row r="41" spans="1:23" ht="21" x14ac:dyDescent="0.35">
      <c r="A41" s="783"/>
      <c r="B41" s="222" t="s">
        <v>2</v>
      </c>
      <c r="C41" s="222" t="s">
        <v>65</v>
      </c>
      <c r="D41" s="235">
        <v>0</v>
      </c>
      <c r="E41" s="235">
        <v>0</v>
      </c>
      <c r="F41" s="235">
        <v>26570</v>
      </c>
      <c r="G41" s="235">
        <v>0</v>
      </c>
      <c r="H41" s="235">
        <v>0</v>
      </c>
      <c r="I41" s="235">
        <v>0</v>
      </c>
      <c r="J41" s="235">
        <v>663260</v>
      </c>
      <c r="K41" s="235">
        <v>436980</v>
      </c>
      <c r="L41" s="228">
        <f t="shared" si="16"/>
        <v>1126810</v>
      </c>
      <c r="M41" s="221"/>
      <c r="N41" s="235">
        <v>568940</v>
      </c>
      <c r="O41" s="235">
        <v>0</v>
      </c>
      <c r="P41" s="235">
        <v>25400</v>
      </c>
      <c r="Q41" s="235">
        <v>0</v>
      </c>
      <c r="R41" s="235">
        <v>0</v>
      </c>
      <c r="S41" s="235">
        <v>0</v>
      </c>
      <c r="T41" s="235">
        <v>0</v>
      </c>
      <c r="U41" s="235">
        <v>0</v>
      </c>
      <c r="V41" s="229">
        <f t="shared" si="17"/>
        <v>594340</v>
      </c>
      <c r="W41" s="215"/>
    </row>
    <row r="42" spans="1:23" ht="21" x14ac:dyDescent="0.35">
      <c r="A42" s="783"/>
      <c r="B42" s="222" t="s">
        <v>2</v>
      </c>
      <c r="C42" s="222" t="s">
        <v>74</v>
      </c>
      <c r="D42" s="235">
        <v>351130</v>
      </c>
      <c r="E42" s="235">
        <v>0</v>
      </c>
      <c r="F42" s="235">
        <v>0</v>
      </c>
      <c r="G42" s="235">
        <v>269610</v>
      </c>
      <c r="H42" s="235">
        <v>0</v>
      </c>
      <c r="I42" s="235">
        <v>0</v>
      </c>
      <c r="J42" s="235">
        <v>403400</v>
      </c>
      <c r="K42" s="235">
        <f>737520</f>
        <v>737520</v>
      </c>
      <c r="L42" s="228">
        <f t="shared" si="16"/>
        <v>1761660</v>
      </c>
      <c r="M42" s="221"/>
      <c r="N42" s="235">
        <v>597820</v>
      </c>
      <c r="O42" s="235">
        <v>307250</v>
      </c>
      <c r="P42" s="235">
        <v>0</v>
      </c>
      <c r="Q42" s="235">
        <v>0</v>
      </c>
      <c r="R42" s="235">
        <v>47650</v>
      </c>
      <c r="S42" s="235">
        <v>0</v>
      </c>
      <c r="T42" s="235">
        <v>0</v>
      </c>
      <c r="U42" s="235">
        <v>0</v>
      </c>
      <c r="V42" s="229">
        <f t="shared" si="17"/>
        <v>952720</v>
      </c>
      <c r="W42" s="215"/>
    </row>
    <row r="43" spans="1:23" ht="21" x14ac:dyDescent="0.35">
      <c r="A43" s="783"/>
      <c r="B43" s="222" t="s">
        <v>2</v>
      </c>
      <c r="C43" s="222" t="s">
        <v>138</v>
      </c>
      <c r="D43" s="235">
        <v>0</v>
      </c>
      <c r="E43" s="235">
        <v>0</v>
      </c>
      <c r="F43" s="235">
        <v>0</v>
      </c>
      <c r="G43" s="235">
        <v>181380</v>
      </c>
      <c r="H43" s="235">
        <v>554860</v>
      </c>
      <c r="I43" s="235">
        <v>0</v>
      </c>
      <c r="J43" s="235">
        <v>229740</v>
      </c>
      <c r="K43" s="235">
        <v>1363810</v>
      </c>
      <c r="L43" s="228">
        <f t="shared" si="16"/>
        <v>2329790</v>
      </c>
      <c r="M43" s="221"/>
      <c r="N43" s="235">
        <v>0</v>
      </c>
      <c r="O43" s="235">
        <v>4110</v>
      </c>
      <c r="P43" s="235">
        <v>63640</v>
      </c>
      <c r="Q43" s="235">
        <v>0</v>
      </c>
      <c r="R43" s="235">
        <v>0</v>
      </c>
      <c r="S43" s="235">
        <v>794040</v>
      </c>
      <c r="T43" s="235">
        <v>0</v>
      </c>
      <c r="U43" s="235">
        <v>0</v>
      </c>
      <c r="V43" s="229">
        <f t="shared" si="17"/>
        <v>861790</v>
      </c>
      <c r="W43" s="215"/>
    </row>
    <row r="44" spans="1:23" ht="21" x14ac:dyDescent="0.35">
      <c r="A44" s="783"/>
      <c r="B44" s="222" t="s">
        <v>2</v>
      </c>
      <c r="C44" s="222" t="s">
        <v>167</v>
      </c>
      <c r="D44" s="235">
        <v>0</v>
      </c>
      <c r="E44" s="235">
        <v>0</v>
      </c>
      <c r="F44" s="235">
        <v>49820</v>
      </c>
      <c r="G44" s="235">
        <v>0</v>
      </c>
      <c r="H44" s="235">
        <v>0</v>
      </c>
      <c r="I44" s="235">
        <v>0</v>
      </c>
      <c r="J44" s="235">
        <v>892110</v>
      </c>
      <c r="K44" s="235">
        <v>0</v>
      </c>
      <c r="L44" s="228">
        <f t="shared" si="16"/>
        <v>941930</v>
      </c>
      <c r="M44" s="221"/>
      <c r="N44" s="235">
        <v>513880</v>
      </c>
      <c r="O44" s="235">
        <v>516610</v>
      </c>
      <c r="P44" s="235">
        <v>0</v>
      </c>
      <c r="Q44" s="235">
        <v>466620</v>
      </c>
      <c r="R44" s="235">
        <v>364890</v>
      </c>
      <c r="S44" s="235">
        <v>0</v>
      </c>
      <c r="T44" s="235">
        <v>0</v>
      </c>
      <c r="U44" s="235">
        <v>0</v>
      </c>
      <c r="V44" s="229">
        <f t="shared" si="17"/>
        <v>1862000</v>
      </c>
      <c r="W44" s="215"/>
    </row>
    <row r="45" spans="1:23" ht="21" x14ac:dyDescent="0.35">
      <c r="A45" s="784"/>
      <c r="B45" s="222" t="s">
        <v>2</v>
      </c>
      <c r="C45" s="222" t="s">
        <v>292</v>
      </c>
      <c r="D45" s="235">
        <v>0</v>
      </c>
      <c r="E45" s="235">
        <v>0</v>
      </c>
      <c r="F45" s="235">
        <v>0</v>
      </c>
      <c r="G45" s="235">
        <v>0</v>
      </c>
      <c r="H45" s="235">
        <v>0</v>
      </c>
      <c r="I45" s="235">
        <v>0</v>
      </c>
      <c r="J45" s="235">
        <v>0</v>
      </c>
      <c r="K45" s="235">
        <v>0</v>
      </c>
      <c r="L45" s="228">
        <f t="shared" si="16"/>
        <v>0</v>
      </c>
      <c r="M45" s="221"/>
      <c r="N45" s="235">
        <v>0</v>
      </c>
      <c r="O45" s="235">
        <v>0</v>
      </c>
      <c r="P45" s="235">
        <v>0</v>
      </c>
      <c r="Q45" s="235">
        <v>0</v>
      </c>
      <c r="R45" s="235">
        <v>0</v>
      </c>
      <c r="S45" s="235">
        <v>0</v>
      </c>
      <c r="T45" s="235">
        <v>0</v>
      </c>
      <c r="U45" s="235">
        <v>0</v>
      </c>
      <c r="V45" s="229">
        <f t="shared" si="17"/>
        <v>0</v>
      </c>
      <c r="W45" s="215"/>
    </row>
    <row r="46" spans="1:23" ht="21" x14ac:dyDescent="0.35">
      <c r="A46" s="231"/>
      <c r="B46" s="232"/>
      <c r="C46" s="232"/>
      <c r="D46" s="232">
        <f t="shared" ref="D46:I46" si="18">SUM(D40:D45)</f>
        <v>351130</v>
      </c>
      <c r="E46" s="232">
        <f t="shared" si="18"/>
        <v>0</v>
      </c>
      <c r="F46" s="232">
        <f t="shared" si="18"/>
        <v>320780</v>
      </c>
      <c r="G46" s="232">
        <f t="shared" si="18"/>
        <v>450990</v>
      </c>
      <c r="H46" s="232">
        <f t="shared" si="18"/>
        <v>554860</v>
      </c>
      <c r="I46" s="232">
        <f t="shared" si="18"/>
        <v>0</v>
      </c>
      <c r="J46" s="232">
        <f>SUM(J40:J45)</f>
        <v>5718190</v>
      </c>
      <c r="K46" s="232">
        <f>SUM(K40:K45)</f>
        <v>5199120</v>
      </c>
      <c r="L46" s="232">
        <f>SUM(L40:L45)</f>
        <v>12595070</v>
      </c>
      <c r="M46" s="233"/>
      <c r="N46" s="232">
        <f t="shared" ref="N46:T46" si="19">SUM(N40:N45)</f>
        <v>1680640</v>
      </c>
      <c r="O46" s="232">
        <f t="shared" si="19"/>
        <v>1430070</v>
      </c>
      <c r="P46" s="232">
        <f t="shared" si="19"/>
        <v>129520</v>
      </c>
      <c r="Q46" s="232">
        <f t="shared" si="19"/>
        <v>466620</v>
      </c>
      <c r="R46" s="232">
        <f t="shared" si="19"/>
        <v>412540</v>
      </c>
      <c r="S46" s="232">
        <f t="shared" si="19"/>
        <v>794040</v>
      </c>
      <c r="T46" s="232">
        <f t="shared" si="19"/>
        <v>0</v>
      </c>
      <c r="U46" s="232">
        <f>SUM(U40:U45)</f>
        <v>0</v>
      </c>
      <c r="V46" s="232">
        <f>SUM(V40:V45)</f>
        <v>4913430</v>
      </c>
      <c r="W46" s="234"/>
    </row>
    <row r="47" spans="1:23" ht="21" x14ac:dyDescent="0.35">
      <c r="A47" s="217" t="s">
        <v>69</v>
      </c>
      <c r="B47" s="218" t="s">
        <v>77</v>
      </c>
      <c r="C47" s="218" t="s">
        <v>76</v>
      </c>
      <c r="D47" s="219" t="s">
        <v>71</v>
      </c>
      <c r="E47" s="219" t="s">
        <v>72</v>
      </c>
      <c r="F47" s="219" t="s">
        <v>73</v>
      </c>
      <c r="G47" s="220" t="s">
        <v>188</v>
      </c>
      <c r="H47" s="220" t="s">
        <v>189</v>
      </c>
      <c r="I47" s="220" t="s">
        <v>190</v>
      </c>
      <c r="J47" s="281" t="s">
        <v>539</v>
      </c>
      <c r="K47" s="281" t="s">
        <v>540</v>
      </c>
      <c r="L47" s="218" t="s">
        <v>75</v>
      </c>
      <c r="M47" s="221"/>
      <c r="N47" s="219" t="s">
        <v>71</v>
      </c>
      <c r="O47" s="219" t="s">
        <v>72</v>
      </c>
      <c r="P47" s="219" t="s">
        <v>73</v>
      </c>
      <c r="Q47" s="220" t="s">
        <v>188</v>
      </c>
      <c r="R47" s="220" t="s">
        <v>189</v>
      </c>
      <c r="S47" s="220" t="s">
        <v>190</v>
      </c>
      <c r="T47" s="281" t="s">
        <v>539</v>
      </c>
      <c r="U47" s="281" t="s">
        <v>540</v>
      </c>
      <c r="V47" s="218" t="s">
        <v>75</v>
      </c>
      <c r="W47" s="215"/>
    </row>
    <row r="48" spans="1:23" ht="21" customHeight="1" x14ac:dyDescent="0.35">
      <c r="A48" s="782" t="s">
        <v>722</v>
      </c>
      <c r="B48" s="222" t="s">
        <v>2</v>
      </c>
      <c r="C48" s="222" t="s">
        <v>67</v>
      </c>
      <c r="D48" s="235">
        <v>534770</v>
      </c>
      <c r="E48" s="235">
        <v>135650</v>
      </c>
      <c r="F48" s="235">
        <v>540060</v>
      </c>
      <c r="G48" s="235">
        <v>910820</v>
      </c>
      <c r="H48" s="235">
        <v>0</v>
      </c>
      <c r="I48" s="235">
        <v>263850</v>
      </c>
      <c r="J48" s="235">
        <v>28580</v>
      </c>
      <c r="K48" s="235">
        <v>1101440</v>
      </c>
      <c r="L48" s="228">
        <f t="shared" ref="L48:L53" si="20">SUM(D48:K48)</f>
        <v>3515170</v>
      </c>
      <c r="M48" s="221"/>
      <c r="N48" s="235">
        <v>0</v>
      </c>
      <c r="O48" s="235">
        <v>0</v>
      </c>
      <c r="P48" s="235">
        <v>461910</v>
      </c>
      <c r="Q48" s="235">
        <v>0</v>
      </c>
      <c r="R48" s="235">
        <v>354430</v>
      </c>
      <c r="S48" s="235">
        <v>0</v>
      </c>
      <c r="T48" s="235">
        <v>0</v>
      </c>
      <c r="U48" s="235">
        <v>0</v>
      </c>
      <c r="V48" s="229">
        <f t="shared" ref="V48:V53" si="21">SUM(N48:U48)</f>
        <v>816340</v>
      </c>
      <c r="W48" s="215"/>
    </row>
    <row r="49" spans="1:23" ht="21" x14ac:dyDescent="0.35">
      <c r="A49" s="783"/>
      <c r="B49" s="222" t="s">
        <v>2</v>
      </c>
      <c r="C49" s="222" t="s">
        <v>65</v>
      </c>
      <c r="D49" s="235">
        <v>0</v>
      </c>
      <c r="E49" s="235">
        <v>0</v>
      </c>
      <c r="F49" s="235">
        <v>0</v>
      </c>
      <c r="G49" s="235">
        <v>0</v>
      </c>
      <c r="H49" s="235">
        <v>0</v>
      </c>
      <c r="I49" s="235">
        <v>0</v>
      </c>
      <c r="J49" s="235">
        <v>582200</v>
      </c>
      <c r="K49" s="235">
        <v>0</v>
      </c>
      <c r="L49" s="228">
        <f t="shared" si="20"/>
        <v>582200</v>
      </c>
      <c r="M49" s="221"/>
      <c r="N49" s="235">
        <v>510040</v>
      </c>
      <c r="O49" s="235">
        <v>0</v>
      </c>
      <c r="P49" s="235">
        <v>0</v>
      </c>
      <c r="Q49" s="235">
        <v>283980</v>
      </c>
      <c r="R49" s="235">
        <v>0</v>
      </c>
      <c r="S49" s="235">
        <v>0</v>
      </c>
      <c r="T49" s="235">
        <v>0</v>
      </c>
      <c r="U49" s="235">
        <v>0</v>
      </c>
      <c r="V49" s="229">
        <f t="shared" si="21"/>
        <v>794020</v>
      </c>
      <c r="W49" s="215"/>
    </row>
    <row r="50" spans="1:23" ht="21" x14ac:dyDescent="0.35">
      <c r="A50" s="783"/>
      <c r="B50" s="222" t="s">
        <v>2</v>
      </c>
      <c r="C50" s="222" t="s">
        <v>74</v>
      </c>
      <c r="D50" s="235">
        <v>0</v>
      </c>
      <c r="E50" s="235">
        <v>0</v>
      </c>
      <c r="F50" s="235">
        <v>0</v>
      </c>
      <c r="G50" s="235">
        <v>0</v>
      </c>
      <c r="H50" s="235">
        <v>0</v>
      </c>
      <c r="I50" s="235">
        <v>0</v>
      </c>
      <c r="J50" s="235">
        <v>0</v>
      </c>
      <c r="K50" s="235">
        <v>0</v>
      </c>
      <c r="L50" s="228">
        <f t="shared" si="20"/>
        <v>0</v>
      </c>
      <c r="M50" s="221"/>
      <c r="N50" s="235">
        <v>491870</v>
      </c>
      <c r="O50" s="235">
        <v>428680</v>
      </c>
      <c r="P50" s="235">
        <v>540700</v>
      </c>
      <c r="Q50" s="235">
        <v>0</v>
      </c>
      <c r="R50" s="235">
        <v>0</v>
      </c>
      <c r="S50" s="235">
        <v>0</v>
      </c>
      <c r="T50" s="235"/>
      <c r="U50" s="235">
        <v>0</v>
      </c>
      <c r="V50" s="229">
        <f t="shared" si="21"/>
        <v>1461250</v>
      </c>
      <c r="W50" s="215"/>
    </row>
    <row r="51" spans="1:23" ht="21" x14ac:dyDescent="0.35">
      <c r="A51" s="783"/>
      <c r="B51" s="222" t="s">
        <v>2</v>
      </c>
      <c r="C51" s="222" t="s">
        <v>138</v>
      </c>
      <c r="D51" s="235">
        <v>554160</v>
      </c>
      <c r="E51" s="235">
        <v>0</v>
      </c>
      <c r="F51" s="235">
        <v>253050</v>
      </c>
      <c r="G51" s="235">
        <v>249440</v>
      </c>
      <c r="H51" s="235">
        <v>479610</v>
      </c>
      <c r="I51" s="235">
        <v>0</v>
      </c>
      <c r="J51" s="235">
        <v>788710</v>
      </c>
      <c r="K51" s="235">
        <v>308940</v>
      </c>
      <c r="L51" s="228">
        <f t="shared" si="20"/>
        <v>2633910</v>
      </c>
      <c r="M51" s="221"/>
      <c r="N51" s="235">
        <v>0</v>
      </c>
      <c r="O51" s="235">
        <v>520690</v>
      </c>
      <c r="P51" s="235">
        <v>0</v>
      </c>
      <c r="Q51" s="235">
        <v>0</v>
      </c>
      <c r="R51" s="235">
        <v>539900</v>
      </c>
      <c r="S51" s="235">
        <v>0</v>
      </c>
      <c r="T51" s="235">
        <v>0</v>
      </c>
      <c r="U51" s="235">
        <v>68300</v>
      </c>
      <c r="V51" s="229">
        <f t="shared" si="21"/>
        <v>1128890</v>
      </c>
      <c r="W51" s="215"/>
    </row>
    <row r="52" spans="1:23" ht="21" x14ac:dyDescent="0.35">
      <c r="A52" s="783"/>
      <c r="B52" s="222" t="s">
        <v>2</v>
      </c>
      <c r="C52" s="222" t="s">
        <v>167</v>
      </c>
      <c r="D52" s="235">
        <v>26000</v>
      </c>
      <c r="E52" s="235">
        <v>0</v>
      </c>
      <c r="F52" s="235">
        <v>0</v>
      </c>
      <c r="G52" s="235">
        <v>0</v>
      </c>
      <c r="H52" s="235">
        <v>0</v>
      </c>
      <c r="I52" s="235">
        <v>0</v>
      </c>
      <c r="J52" s="235">
        <v>97590</v>
      </c>
      <c r="K52" s="235">
        <v>25500</v>
      </c>
      <c r="L52" s="228">
        <f t="shared" si="20"/>
        <v>149090</v>
      </c>
      <c r="M52" s="221"/>
      <c r="N52" s="235">
        <v>103370</v>
      </c>
      <c r="O52" s="235">
        <v>799260</v>
      </c>
      <c r="P52" s="235">
        <v>0</v>
      </c>
      <c r="Q52" s="235">
        <v>132570</v>
      </c>
      <c r="R52" s="235">
        <v>136230</v>
      </c>
      <c r="S52" s="235">
        <v>0</v>
      </c>
      <c r="T52" s="235">
        <v>0</v>
      </c>
      <c r="U52" s="235">
        <v>0</v>
      </c>
      <c r="V52" s="229">
        <f t="shared" si="21"/>
        <v>1171430</v>
      </c>
      <c r="W52" s="215"/>
    </row>
    <row r="53" spans="1:23" ht="21" x14ac:dyDescent="0.35">
      <c r="A53" s="784"/>
      <c r="B53" s="222" t="s">
        <v>2</v>
      </c>
      <c r="C53" s="222" t="s">
        <v>292</v>
      </c>
      <c r="D53" s="235">
        <v>0</v>
      </c>
      <c r="E53" s="235">
        <v>0</v>
      </c>
      <c r="F53" s="235">
        <v>0</v>
      </c>
      <c r="G53" s="235">
        <v>0</v>
      </c>
      <c r="H53" s="235">
        <v>0</v>
      </c>
      <c r="I53" s="235">
        <v>0</v>
      </c>
      <c r="J53" s="235">
        <v>0</v>
      </c>
      <c r="K53" s="235">
        <v>0</v>
      </c>
      <c r="L53" s="228">
        <f t="shared" si="20"/>
        <v>0</v>
      </c>
      <c r="M53" s="221"/>
      <c r="N53" s="235">
        <v>0</v>
      </c>
      <c r="O53" s="235">
        <v>0</v>
      </c>
      <c r="P53" s="235">
        <v>0</v>
      </c>
      <c r="Q53" s="235">
        <v>0</v>
      </c>
      <c r="R53" s="235">
        <v>0</v>
      </c>
      <c r="S53" s="235">
        <v>0</v>
      </c>
      <c r="T53" s="235">
        <v>0</v>
      </c>
      <c r="U53" s="235">
        <v>0</v>
      </c>
      <c r="V53" s="229">
        <f t="shared" si="21"/>
        <v>0</v>
      </c>
      <c r="W53" s="215"/>
    </row>
    <row r="54" spans="1:23" ht="21" x14ac:dyDescent="0.35">
      <c r="A54" s="231"/>
      <c r="B54" s="232"/>
      <c r="C54" s="232"/>
      <c r="D54" s="232">
        <f t="shared" ref="D54:I54" si="22">SUM(D48:D53)</f>
        <v>1114930</v>
      </c>
      <c r="E54" s="232">
        <f t="shared" si="22"/>
        <v>135650</v>
      </c>
      <c r="F54" s="232">
        <f t="shared" si="22"/>
        <v>793110</v>
      </c>
      <c r="G54" s="232">
        <f t="shared" si="22"/>
        <v>1160260</v>
      </c>
      <c r="H54" s="232">
        <f t="shared" si="22"/>
        <v>479610</v>
      </c>
      <c r="I54" s="232">
        <f t="shared" si="22"/>
        <v>263850</v>
      </c>
      <c r="J54" s="232">
        <f>SUM(J48:J53)</f>
        <v>1497080</v>
      </c>
      <c r="K54" s="232">
        <f>SUM(K48:K53)</f>
        <v>1435880</v>
      </c>
      <c r="L54" s="232">
        <f>SUM(L48:L53)</f>
        <v>6880370</v>
      </c>
      <c r="M54" s="233"/>
      <c r="N54" s="232">
        <f t="shared" ref="N54:T54" si="23">SUM(N48:N53)</f>
        <v>1105280</v>
      </c>
      <c r="O54" s="232">
        <f t="shared" si="23"/>
        <v>1748630</v>
      </c>
      <c r="P54" s="232">
        <f t="shared" si="23"/>
        <v>1002610</v>
      </c>
      <c r="Q54" s="232">
        <f t="shared" si="23"/>
        <v>416550</v>
      </c>
      <c r="R54" s="232">
        <f t="shared" si="23"/>
        <v>1030560</v>
      </c>
      <c r="S54" s="232">
        <f t="shared" si="23"/>
        <v>0</v>
      </c>
      <c r="T54" s="232">
        <f t="shared" si="23"/>
        <v>0</v>
      </c>
      <c r="U54" s="232">
        <f>SUM(U48:U53)</f>
        <v>68300</v>
      </c>
      <c r="V54" s="232">
        <f>SUM(V48:V53)</f>
        <v>5371930</v>
      </c>
      <c r="W54" s="234"/>
    </row>
    <row r="55" spans="1:23" ht="21" x14ac:dyDescent="0.35">
      <c r="A55" s="217" t="s">
        <v>69</v>
      </c>
      <c r="B55" s="218" t="s">
        <v>77</v>
      </c>
      <c r="C55" s="218" t="s">
        <v>76</v>
      </c>
      <c r="D55" s="219" t="s">
        <v>71</v>
      </c>
      <c r="E55" s="219" t="s">
        <v>72</v>
      </c>
      <c r="F55" s="219" t="s">
        <v>73</v>
      </c>
      <c r="G55" s="220" t="s">
        <v>188</v>
      </c>
      <c r="H55" s="220" t="s">
        <v>189</v>
      </c>
      <c r="I55" s="220" t="s">
        <v>190</v>
      </c>
      <c r="J55" s="281" t="s">
        <v>539</v>
      </c>
      <c r="K55" s="281" t="s">
        <v>540</v>
      </c>
      <c r="L55" s="218" t="s">
        <v>75</v>
      </c>
      <c r="M55" s="221"/>
      <c r="N55" s="219" t="s">
        <v>71</v>
      </c>
      <c r="O55" s="219" t="s">
        <v>72</v>
      </c>
      <c r="P55" s="219" t="s">
        <v>73</v>
      </c>
      <c r="Q55" s="220" t="s">
        <v>188</v>
      </c>
      <c r="R55" s="220" t="s">
        <v>189</v>
      </c>
      <c r="S55" s="220" t="s">
        <v>190</v>
      </c>
      <c r="T55" s="281" t="s">
        <v>539</v>
      </c>
      <c r="U55" s="281" t="s">
        <v>540</v>
      </c>
      <c r="V55" s="218" t="s">
        <v>75</v>
      </c>
      <c r="W55" s="215"/>
    </row>
    <row r="56" spans="1:23" ht="21" customHeight="1" x14ac:dyDescent="0.35">
      <c r="A56" s="782" t="s">
        <v>794</v>
      </c>
      <c r="B56" s="222" t="s">
        <v>2</v>
      </c>
      <c r="C56" s="222" t="s">
        <v>67</v>
      </c>
      <c r="D56" s="235">
        <v>261900</v>
      </c>
      <c r="E56" s="235">
        <v>0</v>
      </c>
      <c r="F56" s="235">
        <v>0</v>
      </c>
      <c r="G56" s="235">
        <v>261290</v>
      </c>
      <c r="H56" s="235">
        <v>0</v>
      </c>
      <c r="I56" s="235">
        <v>0</v>
      </c>
      <c r="J56" s="235">
        <v>0</v>
      </c>
      <c r="K56" s="235">
        <v>0</v>
      </c>
      <c r="L56" s="235">
        <v>523190</v>
      </c>
      <c r="M56" s="235"/>
      <c r="N56" s="235">
        <v>0</v>
      </c>
      <c r="O56" s="235">
        <v>0</v>
      </c>
      <c r="P56" s="235">
        <v>0</v>
      </c>
      <c r="Q56" s="235">
        <v>5130</v>
      </c>
      <c r="R56" s="235">
        <v>329230</v>
      </c>
      <c r="S56" s="235">
        <v>521110</v>
      </c>
      <c r="T56" s="235">
        <v>0</v>
      </c>
      <c r="U56" s="235">
        <v>0</v>
      </c>
      <c r="V56" s="235">
        <v>855470</v>
      </c>
      <c r="W56" s="215"/>
    </row>
    <row r="57" spans="1:23" ht="21" x14ac:dyDescent="0.35">
      <c r="A57" s="783"/>
      <c r="B57" s="222" t="s">
        <v>2</v>
      </c>
      <c r="C57" s="222" t="s">
        <v>65</v>
      </c>
      <c r="D57" s="235">
        <v>494960</v>
      </c>
      <c r="E57" s="235">
        <v>1246720</v>
      </c>
      <c r="F57" s="235">
        <v>807450</v>
      </c>
      <c r="G57" s="235">
        <v>615410</v>
      </c>
      <c r="H57" s="235">
        <v>0</v>
      </c>
      <c r="I57" s="235">
        <v>842760</v>
      </c>
      <c r="J57" s="235">
        <v>351590</v>
      </c>
      <c r="K57" s="235">
        <v>0</v>
      </c>
      <c r="L57" s="235">
        <v>4358890</v>
      </c>
      <c r="M57" s="221"/>
      <c r="N57" s="235">
        <v>0</v>
      </c>
      <c r="O57" s="235">
        <v>0</v>
      </c>
      <c r="P57" s="235">
        <v>0</v>
      </c>
      <c r="Q57" s="235">
        <v>0</v>
      </c>
      <c r="R57" s="235">
        <v>0</v>
      </c>
      <c r="S57" s="235">
        <v>0</v>
      </c>
      <c r="T57" s="235">
        <v>0</v>
      </c>
      <c r="U57" s="235">
        <v>0</v>
      </c>
      <c r="V57" s="235">
        <v>0</v>
      </c>
      <c r="W57" s="215"/>
    </row>
    <row r="58" spans="1:23" ht="21" x14ac:dyDescent="0.35">
      <c r="A58" s="783"/>
      <c r="B58" s="222" t="s">
        <v>2</v>
      </c>
      <c r="C58" s="222" t="s">
        <v>74</v>
      </c>
      <c r="D58" s="235">
        <v>0</v>
      </c>
      <c r="E58" s="235">
        <v>1173950</v>
      </c>
      <c r="F58" s="235">
        <v>0</v>
      </c>
      <c r="G58" s="235">
        <v>0</v>
      </c>
      <c r="H58" s="235">
        <v>647180</v>
      </c>
      <c r="I58" s="235">
        <v>0</v>
      </c>
      <c r="J58" s="235">
        <v>0</v>
      </c>
      <c r="K58" s="235">
        <v>477280</v>
      </c>
      <c r="L58" s="235">
        <v>2298410</v>
      </c>
      <c r="M58" s="221"/>
      <c r="N58" s="235">
        <v>2170</v>
      </c>
      <c r="O58" s="235">
        <v>0</v>
      </c>
      <c r="P58" s="235">
        <v>0</v>
      </c>
      <c r="Q58" s="235">
        <v>0</v>
      </c>
      <c r="R58" s="235">
        <v>0</v>
      </c>
      <c r="S58" s="235">
        <v>0</v>
      </c>
      <c r="T58" s="235">
        <v>0</v>
      </c>
      <c r="U58" s="235">
        <v>0</v>
      </c>
      <c r="V58" s="235">
        <v>2170</v>
      </c>
      <c r="W58" s="215"/>
    </row>
    <row r="59" spans="1:23" ht="21" x14ac:dyDescent="0.35">
      <c r="A59" s="783"/>
      <c r="B59" s="222" t="s">
        <v>2</v>
      </c>
      <c r="C59" s="222" t="s">
        <v>138</v>
      </c>
      <c r="D59" s="235">
        <v>0</v>
      </c>
      <c r="E59" s="235">
        <v>0</v>
      </c>
      <c r="F59" s="235">
        <v>0</v>
      </c>
      <c r="G59" s="235">
        <v>0</v>
      </c>
      <c r="H59" s="235">
        <v>0</v>
      </c>
      <c r="I59" s="235">
        <v>0</v>
      </c>
      <c r="J59" s="235">
        <v>0</v>
      </c>
      <c r="K59" s="235">
        <v>0</v>
      </c>
      <c r="L59" s="235">
        <v>0</v>
      </c>
      <c r="M59" s="221"/>
      <c r="N59" s="235">
        <v>0</v>
      </c>
      <c r="O59" s="235">
        <v>478890</v>
      </c>
      <c r="P59" s="235">
        <v>0</v>
      </c>
      <c r="Q59" s="235">
        <v>0</v>
      </c>
      <c r="R59" s="235">
        <v>0</v>
      </c>
      <c r="S59" s="235">
        <v>0</v>
      </c>
      <c r="T59" s="235">
        <v>0</v>
      </c>
      <c r="U59" s="235">
        <v>284760</v>
      </c>
      <c r="V59" s="235">
        <v>763650</v>
      </c>
      <c r="W59" s="215"/>
    </row>
    <row r="60" spans="1:23" ht="21" x14ac:dyDescent="0.35">
      <c r="A60" s="783"/>
      <c r="B60" s="222" t="s">
        <v>2</v>
      </c>
      <c r="C60" s="222" t="s">
        <v>167</v>
      </c>
      <c r="D60" s="235">
        <v>0</v>
      </c>
      <c r="E60" s="235">
        <v>0</v>
      </c>
      <c r="F60" s="235">
        <v>0</v>
      </c>
      <c r="G60" s="235">
        <v>0</v>
      </c>
      <c r="H60" s="235">
        <v>0</v>
      </c>
      <c r="I60" s="235">
        <v>0</v>
      </c>
      <c r="J60" s="235">
        <v>0</v>
      </c>
      <c r="K60" s="235">
        <v>0</v>
      </c>
      <c r="L60" s="235">
        <v>0</v>
      </c>
      <c r="M60" s="221"/>
      <c r="N60" s="235">
        <v>0</v>
      </c>
      <c r="O60" s="235">
        <v>5060</v>
      </c>
      <c r="P60" s="235">
        <v>0</v>
      </c>
      <c r="Q60" s="235">
        <v>0</v>
      </c>
      <c r="R60" s="235">
        <v>2140</v>
      </c>
      <c r="S60" s="235">
        <v>0</v>
      </c>
      <c r="T60" s="235">
        <v>0</v>
      </c>
      <c r="U60" s="235">
        <v>0</v>
      </c>
      <c r="V60" s="235">
        <v>7200</v>
      </c>
      <c r="W60" s="215"/>
    </row>
    <row r="61" spans="1:23" ht="21" x14ac:dyDescent="0.35">
      <c r="A61" s="784"/>
      <c r="B61" s="222" t="s">
        <v>2</v>
      </c>
      <c r="C61" s="222" t="s">
        <v>292</v>
      </c>
      <c r="D61" s="235">
        <v>0</v>
      </c>
      <c r="E61" s="235">
        <v>0</v>
      </c>
      <c r="F61" s="235">
        <v>0</v>
      </c>
      <c r="G61" s="235">
        <v>0</v>
      </c>
      <c r="H61" s="235">
        <v>0</v>
      </c>
      <c r="I61" s="235">
        <v>0</v>
      </c>
      <c r="J61" s="235">
        <v>0</v>
      </c>
      <c r="K61" s="235">
        <v>0</v>
      </c>
      <c r="L61" s="235">
        <v>0</v>
      </c>
      <c r="M61" s="221"/>
      <c r="N61" s="235">
        <v>0</v>
      </c>
      <c r="O61" s="235">
        <v>0</v>
      </c>
      <c r="P61" s="235">
        <v>0</v>
      </c>
      <c r="Q61" s="235">
        <v>0</v>
      </c>
      <c r="R61" s="235">
        <v>0</v>
      </c>
      <c r="S61" s="235">
        <v>0</v>
      </c>
      <c r="T61" s="235">
        <v>0</v>
      </c>
      <c r="U61" s="235">
        <v>0</v>
      </c>
      <c r="V61" s="235">
        <v>0</v>
      </c>
      <c r="W61" s="215"/>
    </row>
    <row r="62" spans="1:23" ht="21" x14ac:dyDescent="0.35">
      <c r="A62" s="231"/>
      <c r="B62" s="232"/>
      <c r="C62" s="232"/>
      <c r="D62" s="232">
        <f t="shared" ref="D62:I62" si="24">SUM(D56:D61)</f>
        <v>756860</v>
      </c>
      <c r="E62" s="232">
        <f t="shared" si="24"/>
        <v>2420670</v>
      </c>
      <c r="F62" s="232">
        <f t="shared" si="24"/>
        <v>807450</v>
      </c>
      <c r="G62" s="232">
        <f t="shared" si="24"/>
        <v>876700</v>
      </c>
      <c r="H62" s="232">
        <f t="shared" si="24"/>
        <v>647180</v>
      </c>
      <c r="I62" s="232">
        <f t="shared" si="24"/>
        <v>842760</v>
      </c>
      <c r="J62" s="232">
        <f>SUM(J56:J61)</f>
        <v>351590</v>
      </c>
      <c r="K62" s="232">
        <f>SUM(K56:K61)</f>
        <v>477280</v>
      </c>
      <c r="L62" s="232">
        <f>SUM(L56:L61)</f>
        <v>7180490</v>
      </c>
      <c r="M62" s="233"/>
      <c r="N62" s="232">
        <f t="shared" ref="N62:T62" si="25">SUM(N56:N61)</f>
        <v>2170</v>
      </c>
      <c r="O62" s="232">
        <f t="shared" si="25"/>
        <v>483950</v>
      </c>
      <c r="P62" s="232">
        <f t="shared" si="25"/>
        <v>0</v>
      </c>
      <c r="Q62" s="232">
        <f t="shared" si="25"/>
        <v>5130</v>
      </c>
      <c r="R62" s="232">
        <f t="shared" si="25"/>
        <v>331370</v>
      </c>
      <c r="S62" s="232">
        <f t="shared" si="25"/>
        <v>521110</v>
      </c>
      <c r="T62" s="232">
        <f t="shared" si="25"/>
        <v>0</v>
      </c>
      <c r="U62" s="232">
        <f>SUM(U56:U61)</f>
        <v>284760</v>
      </c>
      <c r="V62" s="232">
        <f>SUM(V56:V61)</f>
        <v>1628490</v>
      </c>
      <c r="W62" s="234"/>
    </row>
    <row r="63" spans="1:23" ht="21" x14ac:dyDescent="0.35">
      <c r="A63" s="217" t="s">
        <v>69</v>
      </c>
      <c r="B63" s="218" t="s">
        <v>77</v>
      </c>
      <c r="C63" s="218" t="s">
        <v>76</v>
      </c>
      <c r="D63" s="219" t="s">
        <v>71</v>
      </c>
      <c r="E63" s="219" t="s">
        <v>72</v>
      </c>
      <c r="F63" s="219" t="s">
        <v>73</v>
      </c>
      <c r="G63" s="220" t="s">
        <v>188</v>
      </c>
      <c r="H63" s="220" t="s">
        <v>189</v>
      </c>
      <c r="I63" s="220" t="s">
        <v>190</v>
      </c>
      <c r="J63" s="281" t="s">
        <v>539</v>
      </c>
      <c r="K63" s="281" t="s">
        <v>540</v>
      </c>
      <c r="L63" s="218" t="s">
        <v>75</v>
      </c>
      <c r="M63" s="221"/>
      <c r="N63" s="219" t="s">
        <v>71</v>
      </c>
      <c r="O63" s="219" t="s">
        <v>72</v>
      </c>
      <c r="P63" s="219" t="s">
        <v>73</v>
      </c>
      <c r="Q63" s="220" t="s">
        <v>188</v>
      </c>
      <c r="R63" s="220" t="s">
        <v>189</v>
      </c>
      <c r="S63" s="220" t="s">
        <v>190</v>
      </c>
      <c r="T63" s="281" t="s">
        <v>539</v>
      </c>
      <c r="U63" s="281" t="s">
        <v>540</v>
      </c>
      <c r="V63" s="218" t="s">
        <v>75</v>
      </c>
      <c r="W63" s="215"/>
    </row>
    <row r="64" spans="1:23" ht="21" customHeight="1" x14ac:dyDescent="0.35">
      <c r="A64" s="782" t="s">
        <v>823</v>
      </c>
      <c r="B64" s="222" t="s">
        <v>2</v>
      </c>
      <c r="C64" s="222" t="s">
        <v>67</v>
      </c>
      <c r="D64" s="235">
        <v>0</v>
      </c>
      <c r="E64" s="235">
        <v>0</v>
      </c>
      <c r="F64" s="235">
        <v>0</v>
      </c>
      <c r="G64" s="235">
        <v>245210</v>
      </c>
      <c r="H64" s="235">
        <v>0</v>
      </c>
      <c r="I64" s="235">
        <v>0</v>
      </c>
      <c r="J64" s="235">
        <v>0</v>
      </c>
      <c r="K64" s="235">
        <v>27550</v>
      </c>
      <c r="L64" s="235">
        <v>272760</v>
      </c>
      <c r="M64" s="235"/>
      <c r="N64" s="235">
        <v>0</v>
      </c>
      <c r="O64" s="235">
        <v>0</v>
      </c>
      <c r="P64" s="235">
        <v>2440</v>
      </c>
      <c r="Q64" s="235">
        <v>0</v>
      </c>
      <c r="R64" s="235">
        <v>0</v>
      </c>
      <c r="S64" s="235">
        <v>0</v>
      </c>
      <c r="T64" s="235">
        <v>0</v>
      </c>
      <c r="U64" s="235">
        <v>0</v>
      </c>
      <c r="V64" s="235">
        <v>2440</v>
      </c>
      <c r="W64" s="215"/>
    </row>
    <row r="65" spans="1:23" ht="21" x14ac:dyDescent="0.35">
      <c r="A65" s="783"/>
      <c r="B65" s="222" t="s">
        <v>2</v>
      </c>
      <c r="C65" s="222" t="s">
        <v>65</v>
      </c>
      <c r="D65" s="235">
        <v>0</v>
      </c>
      <c r="E65" s="235">
        <v>0</v>
      </c>
      <c r="F65" s="235">
        <v>0</v>
      </c>
      <c r="G65" s="235">
        <v>0</v>
      </c>
      <c r="H65" s="235">
        <v>0</v>
      </c>
      <c r="I65" s="235">
        <v>0</v>
      </c>
      <c r="J65" s="235">
        <v>0</v>
      </c>
      <c r="K65" s="235">
        <v>0</v>
      </c>
      <c r="L65" s="235">
        <v>0</v>
      </c>
      <c r="M65" s="221"/>
      <c r="N65" s="235">
        <v>0</v>
      </c>
      <c r="O65" s="235">
        <v>0</v>
      </c>
      <c r="P65" s="235">
        <v>0</v>
      </c>
      <c r="Q65" s="235">
        <v>0</v>
      </c>
      <c r="R65" s="235">
        <v>0</v>
      </c>
      <c r="S65" s="235">
        <v>0</v>
      </c>
      <c r="T65" s="235">
        <v>0</v>
      </c>
      <c r="U65" s="235">
        <v>0</v>
      </c>
      <c r="V65" s="235">
        <v>0</v>
      </c>
      <c r="W65" s="215"/>
    </row>
    <row r="66" spans="1:23" ht="21" x14ac:dyDescent="0.35">
      <c r="A66" s="783"/>
      <c r="B66" s="222" t="s">
        <v>2</v>
      </c>
      <c r="C66" s="222" t="s">
        <v>74</v>
      </c>
      <c r="D66" s="235">
        <v>273100</v>
      </c>
      <c r="E66" s="235">
        <v>1281900</v>
      </c>
      <c r="F66" s="235">
        <v>0</v>
      </c>
      <c r="G66" s="235">
        <v>0</v>
      </c>
      <c r="H66" s="235">
        <v>300440</v>
      </c>
      <c r="I66" s="235">
        <v>458280</v>
      </c>
      <c r="J66" s="235">
        <v>347800</v>
      </c>
      <c r="K66" s="235">
        <v>303270</v>
      </c>
      <c r="L66" s="235">
        <v>2964790</v>
      </c>
      <c r="M66" s="221"/>
      <c r="N66" s="235">
        <v>0</v>
      </c>
      <c r="O66" s="235">
        <v>2160</v>
      </c>
      <c r="P66" s="235">
        <v>0</v>
      </c>
      <c r="Q66" s="235">
        <v>0</v>
      </c>
      <c r="R66" s="235">
        <v>0</v>
      </c>
      <c r="S66" s="235">
        <v>0</v>
      </c>
      <c r="T66" s="235">
        <v>0</v>
      </c>
      <c r="U66" s="235">
        <v>0</v>
      </c>
      <c r="V66" s="235">
        <v>2160</v>
      </c>
      <c r="W66" s="215"/>
    </row>
    <row r="67" spans="1:23" ht="21" x14ac:dyDescent="0.35">
      <c r="A67" s="783"/>
      <c r="B67" s="222" t="s">
        <v>2</v>
      </c>
      <c r="C67" s="222" t="s">
        <v>138</v>
      </c>
      <c r="D67" s="235">
        <v>0</v>
      </c>
      <c r="E67" s="235">
        <v>0</v>
      </c>
      <c r="F67" s="235">
        <v>0</v>
      </c>
      <c r="G67" s="235">
        <v>0</v>
      </c>
      <c r="H67" s="235">
        <v>0</v>
      </c>
      <c r="I67" s="235">
        <v>0</v>
      </c>
      <c r="J67" s="235">
        <v>0</v>
      </c>
      <c r="K67" s="235">
        <v>0</v>
      </c>
      <c r="L67" s="235">
        <v>0</v>
      </c>
      <c r="M67" s="221"/>
      <c r="N67" s="235">
        <v>0</v>
      </c>
      <c r="O67" s="235">
        <v>0</v>
      </c>
      <c r="P67" s="235">
        <v>0</v>
      </c>
      <c r="Q67" s="235">
        <v>0</v>
      </c>
      <c r="R67" s="235">
        <v>0</v>
      </c>
      <c r="S67" s="235">
        <v>0</v>
      </c>
      <c r="T67" s="235">
        <v>0</v>
      </c>
      <c r="U67" s="235">
        <v>0</v>
      </c>
      <c r="V67" s="235">
        <v>0</v>
      </c>
      <c r="W67" s="215"/>
    </row>
    <row r="68" spans="1:23" ht="21" x14ac:dyDescent="0.35">
      <c r="A68" s="783"/>
      <c r="B68" s="222" t="s">
        <v>2</v>
      </c>
      <c r="C68" s="222" t="s">
        <v>167</v>
      </c>
      <c r="D68" s="235">
        <v>0</v>
      </c>
      <c r="E68" s="235">
        <v>0</v>
      </c>
      <c r="F68" s="235">
        <v>0</v>
      </c>
      <c r="G68" s="235">
        <v>0</v>
      </c>
      <c r="H68" s="235">
        <v>0</v>
      </c>
      <c r="I68" s="235">
        <v>0</v>
      </c>
      <c r="J68" s="235">
        <v>0</v>
      </c>
      <c r="K68" s="235">
        <v>0</v>
      </c>
      <c r="L68" s="235">
        <v>0</v>
      </c>
      <c r="M68" s="221"/>
      <c r="N68" s="235">
        <v>0</v>
      </c>
      <c r="O68" s="235">
        <v>0</v>
      </c>
      <c r="P68" s="235">
        <v>0</v>
      </c>
      <c r="Q68" s="235">
        <v>0</v>
      </c>
      <c r="R68" s="235">
        <v>0</v>
      </c>
      <c r="S68" s="235">
        <v>0</v>
      </c>
      <c r="T68" s="235">
        <v>0</v>
      </c>
      <c r="U68" s="235">
        <v>0</v>
      </c>
      <c r="V68" s="235">
        <v>0</v>
      </c>
      <c r="W68" s="215"/>
    </row>
    <row r="69" spans="1:23" ht="21" x14ac:dyDescent="0.35">
      <c r="A69" s="784"/>
      <c r="B69" s="222" t="s">
        <v>2</v>
      </c>
      <c r="C69" s="222" t="s">
        <v>292</v>
      </c>
      <c r="D69" s="235">
        <v>0</v>
      </c>
      <c r="E69" s="235">
        <v>0</v>
      </c>
      <c r="F69" s="235">
        <v>0</v>
      </c>
      <c r="G69" s="235">
        <v>0</v>
      </c>
      <c r="H69" s="235">
        <v>0</v>
      </c>
      <c r="I69" s="235">
        <v>0</v>
      </c>
      <c r="J69" s="235">
        <v>0</v>
      </c>
      <c r="K69" s="235">
        <v>0</v>
      </c>
      <c r="L69" s="235">
        <v>0</v>
      </c>
      <c r="M69" s="221"/>
      <c r="N69" s="235">
        <v>0</v>
      </c>
      <c r="O69" s="235">
        <v>0</v>
      </c>
      <c r="P69" s="235">
        <v>0</v>
      </c>
      <c r="Q69" s="235">
        <v>0</v>
      </c>
      <c r="R69" s="235">
        <v>0</v>
      </c>
      <c r="S69" s="235">
        <v>0</v>
      </c>
      <c r="T69" s="235">
        <v>0</v>
      </c>
      <c r="U69" s="235">
        <v>0</v>
      </c>
      <c r="V69" s="235">
        <v>0</v>
      </c>
      <c r="W69" s="215"/>
    </row>
    <row r="70" spans="1:23" ht="21" x14ac:dyDescent="0.35">
      <c r="A70" s="231"/>
      <c r="B70" s="232"/>
      <c r="C70" s="232"/>
      <c r="D70" s="232">
        <f t="shared" ref="D70:I70" si="26">SUM(D64:D69)</f>
        <v>273100</v>
      </c>
      <c r="E70" s="232">
        <f t="shared" si="26"/>
        <v>1281900</v>
      </c>
      <c r="F70" s="232">
        <f t="shared" si="26"/>
        <v>0</v>
      </c>
      <c r="G70" s="232">
        <f t="shared" si="26"/>
        <v>245210</v>
      </c>
      <c r="H70" s="232">
        <f t="shared" si="26"/>
        <v>300440</v>
      </c>
      <c r="I70" s="232">
        <f t="shared" si="26"/>
        <v>458280</v>
      </c>
      <c r="J70" s="232">
        <f>SUM(J64:J69)</f>
        <v>347800</v>
      </c>
      <c r="K70" s="232">
        <f>SUM(K64:K69)</f>
        <v>330820</v>
      </c>
      <c r="L70" s="232">
        <f>SUM(L64:L69)</f>
        <v>3237550</v>
      </c>
      <c r="M70" s="233"/>
      <c r="N70" s="232">
        <f t="shared" ref="N70:T70" si="27">SUM(N64:N69)</f>
        <v>0</v>
      </c>
      <c r="O70" s="232">
        <f t="shared" si="27"/>
        <v>2160</v>
      </c>
      <c r="P70" s="232">
        <f t="shared" si="27"/>
        <v>2440</v>
      </c>
      <c r="Q70" s="232">
        <f t="shared" si="27"/>
        <v>0</v>
      </c>
      <c r="R70" s="232">
        <f t="shared" si="27"/>
        <v>0</v>
      </c>
      <c r="S70" s="232">
        <f t="shared" si="27"/>
        <v>0</v>
      </c>
      <c r="T70" s="232">
        <f t="shared" si="27"/>
        <v>0</v>
      </c>
      <c r="U70" s="232">
        <f>SUM(U64:U69)</f>
        <v>0</v>
      </c>
      <c r="V70" s="232">
        <f>SUM(V64:V69)</f>
        <v>4600</v>
      </c>
      <c r="W70" s="234"/>
    </row>
    <row r="71" spans="1:23" ht="21" x14ac:dyDescent="0.35">
      <c r="A71" s="217" t="s">
        <v>69</v>
      </c>
      <c r="B71" s="218" t="s">
        <v>77</v>
      </c>
      <c r="C71" s="218" t="s">
        <v>76</v>
      </c>
      <c r="D71" s="219" t="s">
        <v>71</v>
      </c>
      <c r="E71" s="219" t="s">
        <v>72</v>
      </c>
      <c r="F71" s="219" t="s">
        <v>73</v>
      </c>
      <c r="G71" s="220" t="s">
        <v>188</v>
      </c>
      <c r="H71" s="220" t="s">
        <v>189</v>
      </c>
      <c r="I71" s="220" t="s">
        <v>190</v>
      </c>
      <c r="J71" s="281" t="s">
        <v>539</v>
      </c>
      <c r="K71" s="281" t="s">
        <v>540</v>
      </c>
      <c r="L71" s="218" t="s">
        <v>75</v>
      </c>
      <c r="M71" s="221"/>
      <c r="N71" s="219" t="s">
        <v>71</v>
      </c>
      <c r="O71" s="219" t="s">
        <v>72</v>
      </c>
      <c r="P71" s="219" t="s">
        <v>73</v>
      </c>
      <c r="Q71" s="220" t="s">
        <v>188</v>
      </c>
      <c r="R71" s="220" t="s">
        <v>189</v>
      </c>
      <c r="S71" s="220" t="s">
        <v>190</v>
      </c>
      <c r="T71" s="281" t="s">
        <v>539</v>
      </c>
      <c r="U71" s="281" t="s">
        <v>540</v>
      </c>
      <c r="V71" s="218" t="s">
        <v>75</v>
      </c>
      <c r="W71" s="215"/>
    </row>
    <row r="72" spans="1:23" ht="21" customHeight="1" x14ac:dyDescent="0.35">
      <c r="A72" s="782" t="s">
        <v>849</v>
      </c>
      <c r="B72" s="222" t="s">
        <v>2</v>
      </c>
      <c r="C72" s="222" t="s">
        <v>67</v>
      </c>
      <c r="D72" s="235">
        <v>0</v>
      </c>
      <c r="E72" s="235">
        <v>211990</v>
      </c>
      <c r="F72" s="235">
        <v>0</v>
      </c>
      <c r="G72" s="235">
        <v>0</v>
      </c>
      <c r="H72" s="235">
        <v>0</v>
      </c>
      <c r="I72" s="235">
        <v>0</v>
      </c>
      <c r="J72" s="235">
        <v>0</v>
      </c>
      <c r="K72" s="235">
        <v>0</v>
      </c>
      <c r="L72" s="235">
        <f t="shared" ref="L72:L77" si="28">SUM(D72:K72)</f>
        <v>211990</v>
      </c>
      <c r="M72" s="223"/>
      <c r="N72" s="235">
        <v>0</v>
      </c>
      <c r="O72" s="235">
        <v>499240</v>
      </c>
      <c r="P72" s="235">
        <v>0</v>
      </c>
      <c r="Q72" s="235">
        <v>0</v>
      </c>
      <c r="R72" s="235">
        <v>0</v>
      </c>
      <c r="S72" s="235">
        <v>0</v>
      </c>
      <c r="T72" s="235">
        <v>327070</v>
      </c>
      <c r="U72" s="235">
        <v>0</v>
      </c>
      <c r="V72" s="235">
        <f t="shared" ref="V72:V77" si="29">SUM(N72:U72)</f>
        <v>826310</v>
      </c>
      <c r="W72" s="215"/>
    </row>
    <row r="73" spans="1:23" ht="21" x14ac:dyDescent="0.35">
      <c r="A73" s="783"/>
      <c r="B73" s="222" t="s">
        <v>2</v>
      </c>
      <c r="C73" s="222" t="s">
        <v>65</v>
      </c>
      <c r="D73" s="235">
        <v>0</v>
      </c>
      <c r="E73" s="235">
        <v>0</v>
      </c>
      <c r="F73" s="235">
        <v>0</v>
      </c>
      <c r="G73" s="235">
        <v>0</v>
      </c>
      <c r="H73" s="235">
        <v>0</v>
      </c>
      <c r="I73" s="235">
        <v>0</v>
      </c>
      <c r="J73" s="235">
        <v>0</v>
      </c>
      <c r="K73" s="235">
        <v>0</v>
      </c>
      <c r="L73" s="235">
        <f t="shared" si="28"/>
        <v>0</v>
      </c>
      <c r="M73" s="221"/>
      <c r="N73" s="235">
        <v>153750</v>
      </c>
      <c r="O73" s="235">
        <v>0</v>
      </c>
      <c r="P73" s="235">
        <v>0</v>
      </c>
      <c r="Q73" s="235">
        <v>0</v>
      </c>
      <c r="R73" s="235">
        <v>0</v>
      </c>
      <c r="S73" s="235">
        <v>0</v>
      </c>
      <c r="T73" s="235">
        <v>0</v>
      </c>
      <c r="U73" s="235">
        <v>79310</v>
      </c>
      <c r="V73" s="235">
        <f t="shared" si="29"/>
        <v>233060</v>
      </c>
      <c r="W73" s="215"/>
    </row>
    <row r="74" spans="1:23" ht="21" x14ac:dyDescent="0.35">
      <c r="A74" s="783"/>
      <c r="B74" s="222" t="s">
        <v>2</v>
      </c>
      <c r="C74" s="222" t="s">
        <v>74</v>
      </c>
      <c r="D74" s="235">
        <v>211220</v>
      </c>
      <c r="E74" s="235">
        <v>355150</v>
      </c>
      <c r="F74" s="235">
        <v>210330</v>
      </c>
      <c r="G74" s="235">
        <v>0</v>
      </c>
      <c r="H74" s="235">
        <v>0</v>
      </c>
      <c r="I74" s="235">
        <v>212470</v>
      </c>
      <c r="J74" s="235">
        <v>0</v>
      </c>
      <c r="K74" s="235">
        <v>50100</v>
      </c>
      <c r="L74" s="235">
        <f t="shared" si="28"/>
        <v>1039270</v>
      </c>
      <c r="M74" s="221"/>
      <c r="N74" s="235">
        <v>0</v>
      </c>
      <c r="O74" s="235">
        <v>0</v>
      </c>
      <c r="P74" s="235">
        <v>0</v>
      </c>
      <c r="Q74" s="235">
        <v>0</v>
      </c>
      <c r="R74" s="235">
        <v>0</v>
      </c>
      <c r="S74" s="235">
        <v>0</v>
      </c>
      <c r="T74" s="235">
        <v>0</v>
      </c>
      <c r="U74" s="235">
        <v>0</v>
      </c>
      <c r="V74" s="235">
        <f t="shared" si="29"/>
        <v>0</v>
      </c>
      <c r="W74" s="215"/>
    </row>
    <row r="75" spans="1:23" ht="21" x14ac:dyDescent="0.35">
      <c r="A75" s="783"/>
      <c r="B75" s="222" t="s">
        <v>2</v>
      </c>
      <c r="C75" s="222" t="s">
        <v>138</v>
      </c>
      <c r="D75" s="235">
        <v>0</v>
      </c>
      <c r="E75" s="235">
        <v>0</v>
      </c>
      <c r="F75" s="235">
        <v>0</v>
      </c>
      <c r="G75" s="235">
        <v>0</v>
      </c>
      <c r="H75" s="235">
        <v>0</v>
      </c>
      <c r="I75" s="235">
        <v>0</v>
      </c>
      <c r="J75" s="235">
        <v>0</v>
      </c>
      <c r="K75" s="235">
        <v>0</v>
      </c>
      <c r="L75" s="235">
        <f t="shared" si="28"/>
        <v>0</v>
      </c>
      <c r="M75" s="221"/>
      <c r="N75" s="235">
        <v>127570</v>
      </c>
      <c r="O75" s="235">
        <v>0</v>
      </c>
      <c r="P75" s="235">
        <v>238250</v>
      </c>
      <c r="Q75" s="235">
        <v>0</v>
      </c>
      <c r="R75" s="235">
        <v>0</v>
      </c>
      <c r="S75" s="235">
        <v>177720</v>
      </c>
      <c r="T75" s="235">
        <v>0</v>
      </c>
      <c r="U75" s="235">
        <v>0</v>
      </c>
      <c r="V75" s="235">
        <f t="shared" si="29"/>
        <v>543540</v>
      </c>
      <c r="W75" s="215"/>
    </row>
    <row r="76" spans="1:23" ht="21" x14ac:dyDescent="0.35">
      <c r="A76" s="783"/>
      <c r="B76" s="222" t="s">
        <v>2</v>
      </c>
      <c r="C76" s="222" t="s">
        <v>167</v>
      </c>
      <c r="D76" s="235">
        <v>0</v>
      </c>
      <c r="E76" s="235">
        <v>0</v>
      </c>
      <c r="F76" s="235">
        <v>0</v>
      </c>
      <c r="G76" s="235">
        <v>0</v>
      </c>
      <c r="H76" s="235">
        <v>0</v>
      </c>
      <c r="I76" s="235">
        <v>0</v>
      </c>
      <c r="J76" s="235">
        <v>0</v>
      </c>
      <c r="K76" s="235">
        <v>0</v>
      </c>
      <c r="L76" s="235">
        <f t="shared" si="28"/>
        <v>0</v>
      </c>
      <c r="M76" s="221"/>
      <c r="N76" s="235">
        <v>0</v>
      </c>
      <c r="O76" s="235">
        <v>0</v>
      </c>
      <c r="P76" s="235">
        <v>0</v>
      </c>
      <c r="Q76" s="235">
        <v>0</v>
      </c>
      <c r="R76" s="235">
        <v>0</v>
      </c>
      <c r="S76" s="235">
        <v>0</v>
      </c>
      <c r="T76" s="235">
        <v>0</v>
      </c>
      <c r="U76" s="235">
        <v>0</v>
      </c>
      <c r="V76" s="235">
        <f t="shared" si="29"/>
        <v>0</v>
      </c>
      <c r="W76" s="215"/>
    </row>
    <row r="77" spans="1:23" ht="21" x14ac:dyDescent="0.35">
      <c r="A77" s="784"/>
      <c r="B77" s="222" t="s">
        <v>2</v>
      </c>
      <c r="C77" s="222" t="s">
        <v>292</v>
      </c>
      <c r="D77" s="235">
        <v>0</v>
      </c>
      <c r="E77" s="235">
        <v>0</v>
      </c>
      <c r="F77" s="235">
        <v>0</v>
      </c>
      <c r="G77" s="235">
        <v>0</v>
      </c>
      <c r="H77" s="235">
        <v>0</v>
      </c>
      <c r="I77" s="235">
        <v>0</v>
      </c>
      <c r="J77" s="235">
        <v>0</v>
      </c>
      <c r="K77" s="235">
        <v>0</v>
      </c>
      <c r="L77" s="235">
        <f t="shared" si="28"/>
        <v>0</v>
      </c>
      <c r="M77" s="221"/>
      <c r="N77" s="235">
        <v>0</v>
      </c>
      <c r="O77" s="235">
        <v>0</v>
      </c>
      <c r="P77" s="235">
        <v>0</v>
      </c>
      <c r="Q77" s="235">
        <v>0</v>
      </c>
      <c r="R77" s="235">
        <v>0</v>
      </c>
      <c r="S77" s="235">
        <v>0</v>
      </c>
      <c r="T77" s="235">
        <v>0</v>
      </c>
      <c r="U77" s="235">
        <v>0</v>
      </c>
      <c r="V77" s="235">
        <f t="shared" si="29"/>
        <v>0</v>
      </c>
      <c r="W77" s="215"/>
    </row>
    <row r="78" spans="1:23" ht="21" x14ac:dyDescent="0.35">
      <c r="A78" s="231"/>
      <c r="B78" s="232"/>
      <c r="C78" s="232"/>
      <c r="D78" s="232">
        <f t="shared" ref="D78:I78" si="30">SUM(D72:D77)</f>
        <v>211220</v>
      </c>
      <c r="E78" s="232">
        <f t="shared" si="30"/>
        <v>567140</v>
      </c>
      <c r="F78" s="232">
        <f t="shared" si="30"/>
        <v>210330</v>
      </c>
      <c r="G78" s="232">
        <f t="shared" si="30"/>
        <v>0</v>
      </c>
      <c r="H78" s="232">
        <f t="shared" si="30"/>
        <v>0</v>
      </c>
      <c r="I78" s="232">
        <f t="shared" si="30"/>
        <v>212470</v>
      </c>
      <c r="J78" s="232">
        <f>SUM(J72:J77)</f>
        <v>0</v>
      </c>
      <c r="K78" s="232">
        <f>SUM(K72:K77)</f>
        <v>50100</v>
      </c>
      <c r="L78" s="232">
        <f>SUM(L72:L77)</f>
        <v>1251260</v>
      </c>
      <c r="M78" s="233"/>
      <c r="N78" s="232">
        <f t="shared" ref="N78:T78" si="31">SUM(N72:N77)</f>
        <v>281320</v>
      </c>
      <c r="O78" s="232">
        <f t="shared" si="31"/>
        <v>499240</v>
      </c>
      <c r="P78" s="232">
        <f t="shared" si="31"/>
        <v>238250</v>
      </c>
      <c r="Q78" s="232">
        <f t="shared" si="31"/>
        <v>0</v>
      </c>
      <c r="R78" s="232">
        <f t="shared" si="31"/>
        <v>0</v>
      </c>
      <c r="S78" s="232">
        <f t="shared" si="31"/>
        <v>177720</v>
      </c>
      <c r="T78" s="232">
        <f t="shared" si="31"/>
        <v>327070</v>
      </c>
      <c r="U78" s="232">
        <f>SUM(U72:U77)</f>
        <v>79310</v>
      </c>
      <c r="V78" s="232">
        <f>SUM(V72:V77)</f>
        <v>1602910</v>
      </c>
      <c r="W78" s="234"/>
    </row>
    <row r="79" spans="1:23" ht="21" x14ac:dyDescent="0.35">
      <c r="A79" s="217" t="s">
        <v>69</v>
      </c>
      <c r="B79" s="218" t="s">
        <v>77</v>
      </c>
      <c r="C79" s="218" t="s">
        <v>76</v>
      </c>
      <c r="D79" s="219" t="s">
        <v>71</v>
      </c>
      <c r="E79" s="219" t="s">
        <v>72</v>
      </c>
      <c r="F79" s="219" t="s">
        <v>73</v>
      </c>
      <c r="G79" s="220" t="s">
        <v>188</v>
      </c>
      <c r="H79" s="220" t="s">
        <v>189</v>
      </c>
      <c r="I79" s="220" t="s">
        <v>190</v>
      </c>
      <c r="J79" s="281" t="s">
        <v>539</v>
      </c>
      <c r="K79" s="281" t="s">
        <v>540</v>
      </c>
      <c r="L79" s="218" t="s">
        <v>75</v>
      </c>
      <c r="M79" s="221"/>
      <c r="N79" s="219" t="s">
        <v>71</v>
      </c>
      <c r="O79" s="219" t="s">
        <v>72</v>
      </c>
      <c r="P79" s="219" t="s">
        <v>73</v>
      </c>
      <c r="Q79" s="220" t="s">
        <v>188</v>
      </c>
      <c r="R79" s="220" t="s">
        <v>189</v>
      </c>
      <c r="S79" s="220" t="s">
        <v>190</v>
      </c>
      <c r="T79" s="281" t="s">
        <v>539</v>
      </c>
      <c r="U79" s="281" t="s">
        <v>540</v>
      </c>
      <c r="V79" s="218" t="s">
        <v>75</v>
      </c>
      <c r="W79" s="215"/>
    </row>
    <row r="80" spans="1:23" ht="21" customHeight="1" x14ac:dyDescent="0.35">
      <c r="A80" s="782" t="s">
        <v>863</v>
      </c>
      <c r="B80" s="222" t="s">
        <v>2</v>
      </c>
      <c r="C80" s="222" t="s">
        <v>67</v>
      </c>
      <c r="D80" s="235">
        <v>0</v>
      </c>
      <c r="E80" s="235">
        <v>242760</v>
      </c>
      <c r="F80" s="235">
        <v>0</v>
      </c>
      <c r="G80" s="235">
        <v>0</v>
      </c>
      <c r="H80" s="235">
        <v>0</v>
      </c>
      <c r="I80" s="235">
        <v>0</v>
      </c>
      <c r="J80" s="235">
        <v>0</v>
      </c>
      <c r="K80" s="235">
        <v>0</v>
      </c>
      <c r="L80" s="235">
        <f t="shared" ref="L80:L85" si="32">SUM(D80:K80)</f>
        <v>242760</v>
      </c>
      <c r="M80" s="221"/>
      <c r="N80" s="235">
        <v>271220</v>
      </c>
      <c r="O80" s="228">
        <v>823120</v>
      </c>
      <c r="P80" s="235">
        <v>1180680</v>
      </c>
      <c r="Q80" s="235">
        <v>211530</v>
      </c>
      <c r="R80" s="235">
        <v>829710</v>
      </c>
      <c r="S80" s="235">
        <v>1099840</v>
      </c>
      <c r="T80" s="235">
        <v>878040</v>
      </c>
      <c r="U80" s="235">
        <v>623010</v>
      </c>
      <c r="V80" s="235">
        <f t="shared" ref="V80:V85" si="33">SUM(N80:U80)</f>
        <v>5917150</v>
      </c>
      <c r="W80" s="215"/>
    </row>
    <row r="81" spans="1:23" ht="21" x14ac:dyDescent="0.35">
      <c r="A81" s="783"/>
      <c r="B81" s="222" t="s">
        <v>2</v>
      </c>
      <c r="C81" s="222" t="s">
        <v>65</v>
      </c>
      <c r="D81" s="235">
        <v>0</v>
      </c>
      <c r="E81" s="235">
        <v>0</v>
      </c>
      <c r="F81" s="235">
        <v>0</v>
      </c>
      <c r="G81" s="235">
        <v>0</v>
      </c>
      <c r="H81" s="235">
        <v>0</v>
      </c>
      <c r="I81" s="235">
        <v>0</v>
      </c>
      <c r="J81" s="235">
        <v>0</v>
      </c>
      <c r="K81" s="235">
        <v>0</v>
      </c>
      <c r="L81" s="235">
        <f t="shared" si="32"/>
        <v>0</v>
      </c>
      <c r="M81" s="221"/>
      <c r="N81" s="235">
        <v>0</v>
      </c>
      <c r="O81" s="228">
        <v>182530</v>
      </c>
      <c r="P81" s="235">
        <v>0</v>
      </c>
      <c r="Q81" s="235">
        <v>0</v>
      </c>
      <c r="R81" s="235">
        <v>0</v>
      </c>
      <c r="S81" s="235">
        <v>0</v>
      </c>
      <c r="T81" s="235">
        <v>0</v>
      </c>
      <c r="U81" s="235">
        <v>0</v>
      </c>
      <c r="V81" s="235">
        <f t="shared" si="33"/>
        <v>182530</v>
      </c>
      <c r="W81" s="215"/>
    </row>
    <row r="82" spans="1:23" ht="21" x14ac:dyDescent="0.35">
      <c r="A82" s="783"/>
      <c r="B82" s="222" t="s">
        <v>2</v>
      </c>
      <c r="C82" s="222" t="s">
        <v>74</v>
      </c>
      <c r="D82" s="235">
        <v>271330</v>
      </c>
      <c r="E82" s="235">
        <v>541410</v>
      </c>
      <c r="F82" s="235">
        <v>0</v>
      </c>
      <c r="G82" s="235">
        <v>0</v>
      </c>
      <c r="H82" s="235">
        <v>0</v>
      </c>
      <c r="I82" s="235">
        <v>0</v>
      </c>
      <c r="J82" s="235">
        <v>0</v>
      </c>
      <c r="K82" s="235">
        <v>0</v>
      </c>
      <c r="L82" s="235">
        <f t="shared" si="32"/>
        <v>812740</v>
      </c>
      <c r="M82" s="221"/>
      <c r="N82" s="235">
        <v>268300</v>
      </c>
      <c r="O82" s="228">
        <v>268760</v>
      </c>
      <c r="P82" s="235">
        <v>0</v>
      </c>
      <c r="Q82" s="235">
        <v>287230</v>
      </c>
      <c r="R82" s="235">
        <v>0</v>
      </c>
      <c r="S82" s="235">
        <v>0</v>
      </c>
      <c r="T82" s="235">
        <v>371810</v>
      </c>
      <c r="U82" s="235">
        <v>487080</v>
      </c>
      <c r="V82" s="235">
        <f t="shared" si="33"/>
        <v>1683180</v>
      </c>
      <c r="W82" s="215"/>
    </row>
    <row r="83" spans="1:23" ht="21" x14ac:dyDescent="0.35">
      <c r="A83" s="783"/>
      <c r="B83" s="222" t="s">
        <v>2</v>
      </c>
      <c r="C83" s="222" t="s">
        <v>138</v>
      </c>
      <c r="D83" s="235">
        <v>0</v>
      </c>
      <c r="E83" s="235">
        <v>0</v>
      </c>
      <c r="F83" s="235">
        <v>0</v>
      </c>
      <c r="G83" s="235">
        <v>0</v>
      </c>
      <c r="H83" s="235">
        <v>356290</v>
      </c>
      <c r="I83" s="235">
        <v>0</v>
      </c>
      <c r="J83" s="235">
        <v>0</v>
      </c>
      <c r="K83" s="235">
        <v>0</v>
      </c>
      <c r="L83" s="235">
        <f t="shared" si="32"/>
        <v>356290</v>
      </c>
      <c r="M83" s="221"/>
      <c r="N83" s="235">
        <v>0</v>
      </c>
      <c r="O83" s="228">
        <v>105350</v>
      </c>
      <c r="P83" s="235">
        <v>148930</v>
      </c>
      <c r="Q83" s="235">
        <v>0</v>
      </c>
      <c r="R83" s="235">
        <v>15500</v>
      </c>
      <c r="S83" s="235">
        <v>0</v>
      </c>
      <c r="T83" s="235">
        <v>0</v>
      </c>
      <c r="U83" s="235">
        <v>0</v>
      </c>
      <c r="V83" s="235">
        <f t="shared" si="33"/>
        <v>269780</v>
      </c>
      <c r="W83" s="215"/>
    </row>
    <row r="84" spans="1:23" ht="21" x14ac:dyDescent="0.35">
      <c r="A84" s="783"/>
      <c r="B84" s="222" t="s">
        <v>2</v>
      </c>
      <c r="C84" s="222" t="s">
        <v>167</v>
      </c>
      <c r="D84" s="235">
        <v>0</v>
      </c>
      <c r="E84" s="235">
        <v>0</v>
      </c>
      <c r="F84" s="235">
        <v>0</v>
      </c>
      <c r="G84" s="235">
        <v>0</v>
      </c>
      <c r="H84" s="235">
        <v>0</v>
      </c>
      <c r="I84" s="235">
        <v>0</v>
      </c>
      <c r="J84" s="235">
        <v>0</v>
      </c>
      <c r="K84" s="235">
        <v>0</v>
      </c>
      <c r="L84" s="235">
        <f t="shared" si="32"/>
        <v>0</v>
      </c>
      <c r="M84" s="221"/>
      <c r="N84" s="235">
        <v>0</v>
      </c>
      <c r="O84" s="235">
        <v>0</v>
      </c>
      <c r="P84" s="235">
        <v>0</v>
      </c>
      <c r="Q84" s="235">
        <v>0</v>
      </c>
      <c r="R84" s="235">
        <v>0</v>
      </c>
      <c r="S84" s="235">
        <v>229020</v>
      </c>
      <c r="T84" s="235">
        <v>0</v>
      </c>
      <c r="U84" s="235">
        <v>0</v>
      </c>
      <c r="V84" s="235">
        <f t="shared" si="33"/>
        <v>229020</v>
      </c>
      <c r="W84" s="215"/>
    </row>
    <row r="85" spans="1:23" ht="21" x14ac:dyDescent="0.35">
      <c r="A85" s="784"/>
      <c r="B85" s="222" t="s">
        <v>2</v>
      </c>
      <c r="C85" s="222" t="s">
        <v>292</v>
      </c>
      <c r="D85" s="235">
        <v>0</v>
      </c>
      <c r="E85" s="235">
        <v>0</v>
      </c>
      <c r="F85" s="235">
        <v>0</v>
      </c>
      <c r="G85" s="235">
        <v>0</v>
      </c>
      <c r="H85" s="235">
        <v>0</v>
      </c>
      <c r="I85" s="235">
        <v>0</v>
      </c>
      <c r="J85" s="235">
        <v>0</v>
      </c>
      <c r="K85" s="235">
        <v>0</v>
      </c>
      <c r="L85" s="235">
        <f t="shared" si="32"/>
        <v>0</v>
      </c>
      <c r="M85" s="221"/>
      <c r="N85" s="235">
        <v>0</v>
      </c>
      <c r="O85" s="235">
        <v>0</v>
      </c>
      <c r="P85" s="235">
        <v>0</v>
      </c>
      <c r="Q85" s="235">
        <v>0</v>
      </c>
      <c r="R85" s="235">
        <v>0</v>
      </c>
      <c r="S85" s="235">
        <v>0</v>
      </c>
      <c r="T85" s="235">
        <v>0</v>
      </c>
      <c r="U85" s="235">
        <v>0</v>
      </c>
      <c r="V85" s="235">
        <f t="shared" si="33"/>
        <v>0</v>
      </c>
      <c r="W85" s="215"/>
    </row>
    <row r="86" spans="1:23" ht="21" x14ac:dyDescent="0.35">
      <c r="A86" s="231"/>
      <c r="B86" s="232"/>
      <c r="C86" s="232"/>
      <c r="D86" s="232">
        <f t="shared" ref="D86:I86" si="34">SUM(D80:D85)</f>
        <v>271330</v>
      </c>
      <c r="E86" s="232">
        <f t="shared" si="34"/>
        <v>784170</v>
      </c>
      <c r="F86" s="232">
        <f t="shared" si="34"/>
        <v>0</v>
      </c>
      <c r="G86" s="232">
        <f t="shared" si="34"/>
        <v>0</v>
      </c>
      <c r="H86" s="232">
        <f t="shared" si="34"/>
        <v>356290</v>
      </c>
      <c r="I86" s="232">
        <f t="shared" si="34"/>
        <v>0</v>
      </c>
      <c r="J86" s="232">
        <f>SUM(J80:J85)</f>
        <v>0</v>
      </c>
      <c r="K86" s="232">
        <f>SUM(K80:K85)</f>
        <v>0</v>
      </c>
      <c r="L86" s="232">
        <f>SUM(L80:L85)</f>
        <v>1411790</v>
      </c>
      <c r="M86" s="233"/>
      <c r="N86" s="232">
        <f t="shared" ref="N86:T86" si="35">SUM(N80:N85)</f>
        <v>539520</v>
      </c>
      <c r="O86" s="232">
        <f t="shared" si="35"/>
        <v>1379760</v>
      </c>
      <c r="P86" s="232">
        <f t="shared" si="35"/>
        <v>1329610</v>
      </c>
      <c r="Q86" s="232">
        <f t="shared" si="35"/>
        <v>498760</v>
      </c>
      <c r="R86" s="232">
        <f t="shared" si="35"/>
        <v>845210</v>
      </c>
      <c r="S86" s="232">
        <f t="shared" si="35"/>
        <v>1328860</v>
      </c>
      <c r="T86" s="232">
        <f t="shared" si="35"/>
        <v>1249850</v>
      </c>
      <c r="U86" s="232">
        <f>SUM(U80:U85)</f>
        <v>1110090</v>
      </c>
      <c r="V86" s="232">
        <f>SUM(V80:V85)</f>
        <v>8281660</v>
      </c>
      <c r="W86" s="234"/>
    </row>
    <row r="87" spans="1:23" ht="21" x14ac:dyDescent="0.35">
      <c r="A87" s="217" t="s">
        <v>69</v>
      </c>
      <c r="B87" s="218" t="s">
        <v>77</v>
      </c>
      <c r="C87" s="218" t="s">
        <v>76</v>
      </c>
      <c r="D87" s="219" t="s">
        <v>71</v>
      </c>
      <c r="E87" s="219" t="s">
        <v>72</v>
      </c>
      <c r="F87" s="219" t="s">
        <v>73</v>
      </c>
      <c r="G87" s="220" t="s">
        <v>188</v>
      </c>
      <c r="H87" s="220" t="s">
        <v>189</v>
      </c>
      <c r="I87" s="220" t="s">
        <v>190</v>
      </c>
      <c r="J87" s="281" t="s">
        <v>539</v>
      </c>
      <c r="K87" s="281" t="s">
        <v>540</v>
      </c>
      <c r="L87" s="218" t="s">
        <v>75</v>
      </c>
      <c r="M87" s="221"/>
      <c r="N87" s="219" t="s">
        <v>71</v>
      </c>
      <c r="O87" s="219" t="s">
        <v>72</v>
      </c>
      <c r="P87" s="219" t="s">
        <v>73</v>
      </c>
      <c r="Q87" s="220" t="s">
        <v>188</v>
      </c>
      <c r="R87" s="220" t="s">
        <v>189</v>
      </c>
      <c r="S87" s="220" t="s">
        <v>190</v>
      </c>
      <c r="T87" s="281" t="s">
        <v>539</v>
      </c>
      <c r="U87" s="281" t="s">
        <v>540</v>
      </c>
      <c r="V87" s="218" t="s">
        <v>75</v>
      </c>
      <c r="W87" s="215"/>
    </row>
    <row r="88" spans="1:23" ht="21" customHeight="1" x14ac:dyDescent="0.35">
      <c r="A88" s="782" t="s">
        <v>918</v>
      </c>
      <c r="B88" s="222" t="s">
        <v>2</v>
      </c>
      <c r="C88" s="222" t="s">
        <v>67</v>
      </c>
      <c r="D88" s="235">
        <v>0</v>
      </c>
      <c r="E88" s="235">
        <v>0</v>
      </c>
      <c r="F88" s="235">
        <v>0</v>
      </c>
      <c r="G88" s="235">
        <v>0</v>
      </c>
      <c r="H88" s="235">
        <v>0</v>
      </c>
      <c r="I88" s="235">
        <v>0</v>
      </c>
      <c r="J88" s="235">
        <v>0</v>
      </c>
      <c r="K88" s="235">
        <v>0</v>
      </c>
      <c r="L88" s="235">
        <f t="shared" ref="L88:L93" si="36">SUM(D88:K88)</f>
        <v>0</v>
      </c>
      <c r="M88" s="221"/>
      <c r="N88" s="235">
        <v>508060</v>
      </c>
      <c r="O88" s="235">
        <v>339880</v>
      </c>
      <c r="P88" s="235">
        <v>454790</v>
      </c>
      <c r="Q88" s="235">
        <v>339910</v>
      </c>
      <c r="R88" s="235">
        <v>735650</v>
      </c>
      <c r="S88" s="235">
        <v>962400</v>
      </c>
      <c r="T88" s="235">
        <v>535810</v>
      </c>
      <c r="U88" s="235">
        <v>1589060</v>
      </c>
      <c r="V88" s="235">
        <f>SUM(N88:U88)</f>
        <v>5465560</v>
      </c>
      <c r="W88" s="215"/>
    </row>
    <row r="89" spans="1:23" ht="21" x14ac:dyDescent="0.35">
      <c r="A89" s="783"/>
      <c r="B89" s="222" t="s">
        <v>2</v>
      </c>
      <c r="C89" s="222" t="s">
        <v>65</v>
      </c>
      <c r="D89" s="235">
        <v>0</v>
      </c>
      <c r="E89" s="235">
        <v>0</v>
      </c>
      <c r="F89" s="235">
        <v>0</v>
      </c>
      <c r="G89" s="235">
        <v>0</v>
      </c>
      <c r="H89" s="235">
        <v>0</v>
      </c>
      <c r="I89" s="235">
        <v>449510</v>
      </c>
      <c r="J89" s="235">
        <v>0</v>
      </c>
      <c r="K89" s="235">
        <v>0</v>
      </c>
      <c r="L89" s="235">
        <f t="shared" si="36"/>
        <v>449510</v>
      </c>
      <c r="M89" s="221"/>
      <c r="N89" s="235">
        <v>0</v>
      </c>
      <c r="O89" s="235">
        <v>0</v>
      </c>
      <c r="P89" s="235">
        <v>0</v>
      </c>
      <c r="Q89" s="235">
        <v>98120</v>
      </c>
      <c r="R89" s="235">
        <v>0</v>
      </c>
      <c r="S89" s="235">
        <v>170170</v>
      </c>
      <c r="T89" s="235">
        <v>0</v>
      </c>
      <c r="U89" s="235">
        <v>0</v>
      </c>
      <c r="V89" s="235">
        <f t="shared" ref="V89:V93" si="37">SUM(N89:U89)</f>
        <v>268290</v>
      </c>
      <c r="W89" s="215"/>
    </row>
    <row r="90" spans="1:23" ht="21" x14ac:dyDescent="0.35">
      <c r="A90" s="783"/>
      <c r="B90" s="222" t="s">
        <v>2</v>
      </c>
      <c r="C90" s="222" t="s">
        <v>74</v>
      </c>
      <c r="D90" s="235">
        <v>247750</v>
      </c>
      <c r="E90" s="235">
        <v>0</v>
      </c>
      <c r="F90" s="235">
        <v>0</v>
      </c>
      <c r="G90" s="235">
        <v>219530</v>
      </c>
      <c r="H90" s="235">
        <v>0</v>
      </c>
      <c r="I90" s="235">
        <v>0</v>
      </c>
      <c r="J90" s="235">
        <v>611900</v>
      </c>
      <c r="K90" s="235">
        <v>355850</v>
      </c>
      <c r="L90" s="235">
        <f t="shared" si="36"/>
        <v>1435030</v>
      </c>
      <c r="M90" s="221"/>
      <c r="N90" s="235">
        <v>894400</v>
      </c>
      <c r="O90" s="235">
        <v>649990</v>
      </c>
      <c r="P90" s="235">
        <v>617230</v>
      </c>
      <c r="Q90" s="235">
        <v>702290</v>
      </c>
      <c r="R90" s="235">
        <v>946800</v>
      </c>
      <c r="S90" s="235">
        <v>0</v>
      </c>
      <c r="T90" s="235">
        <v>300310</v>
      </c>
      <c r="U90" s="235">
        <v>709770</v>
      </c>
      <c r="V90" s="235">
        <f t="shared" si="37"/>
        <v>4820790</v>
      </c>
      <c r="W90" s="215"/>
    </row>
    <row r="91" spans="1:23" ht="21" x14ac:dyDescent="0.35">
      <c r="A91" s="783"/>
      <c r="B91" s="222" t="s">
        <v>2</v>
      </c>
      <c r="C91" s="222" t="s">
        <v>138</v>
      </c>
      <c r="D91" s="235">
        <v>0</v>
      </c>
      <c r="E91" s="235">
        <v>116100</v>
      </c>
      <c r="F91" s="235">
        <v>0</v>
      </c>
      <c r="G91" s="235">
        <v>0</v>
      </c>
      <c r="H91" s="235">
        <v>0</v>
      </c>
      <c r="I91" s="235">
        <v>303170</v>
      </c>
      <c r="J91" s="235">
        <v>115100</v>
      </c>
      <c r="K91" s="235">
        <v>116560</v>
      </c>
      <c r="L91" s="235">
        <f t="shared" si="36"/>
        <v>650930</v>
      </c>
      <c r="M91" s="221"/>
      <c r="N91" s="235">
        <v>0</v>
      </c>
      <c r="O91" s="235">
        <v>0</v>
      </c>
      <c r="P91" s="235">
        <v>0</v>
      </c>
      <c r="Q91" s="235">
        <v>0</v>
      </c>
      <c r="R91" s="235">
        <v>69040</v>
      </c>
      <c r="S91" s="235">
        <v>0</v>
      </c>
      <c r="T91" s="235">
        <v>0</v>
      </c>
      <c r="U91" s="235">
        <v>1201160</v>
      </c>
      <c r="V91" s="235">
        <f t="shared" si="37"/>
        <v>1270200</v>
      </c>
      <c r="W91" s="215"/>
    </row>
    <row r="92" spans="1:23" ht="21" x14ac:dyDescent="0.35">
      <c r="A92" s="783"/>
      <c r="B92" s="222" t="s">
        <v>2</v>
      </c>
      <c r="C92" s="222" t="s">
        <v>167</v>
      </c>
      <c r="D92" s="235">
        <v>0</v>
      </c>
      <c r="E92" s="235">
        <v>0</v>
      </c>
      <c r="F92" s="235">
        <v>0</v>
      </c>
      <c r="G92" s="235">
        <v>0</v>
      </c>
      <c r="H92" s="235">
        <v>0</v>
      </c>
      <c r="I92" s="235">
        <v>0</v>
      </c>
      <c r="J92" s="235">
        <v>0</v>
      </c>
      <c r="K92" s="235">
        <v>0</v>
      </c>
      <c r="L92" s="235">
        <f t="shared" si="36"/>
        <v>0</v>
      </c>
      <c r="M92" s="221"/>
      <c r="N92" s="235">
        <v>0</v>
      </c>
      <c r="O92" s="235">
        <v>0</v>
      </c>
      <c r="P92" s="235">
        <v>0</v>
      </c>
      <c r="Q92" s="235">
        <v>0</v>
      </c>
      <c r="R92" s="235">
        <v>0</v>
      </c>
      <c r="S92" s="235">
        <v>0</v>
      </c>
      <c r="T92" s="235">
        <v>0</v>
      </c>
      <c r="U92" s="235">
        <v>0</v>
      </c>
      <c r="V92" s="235">
        <f t="shared" si="37"/>
        <v>0</v>
      </c>
      <c r="W92" s="215"/>
    </row>
    <row r="93" spans="1:23" ht="21" x14ac:dyDescent="0.35">
      <c r="A93" s="784"/>
      <c r="B93" s="222" t="s">
        <v>2</v>
      </c>
      <c r="C93" s="222" t="s">
        <v>292</v>
      </c>
      <c r="D93" s="235">
        <v>0</v>
      </c>
      <c r="E93" s="235">
        <v>0</v>
      </c>
      <c r="F93" s="235">
        <v>0</v>
      </c>
      <c r="G93" s="235">
        <v>0</v>
      </c>
      <c r="H93" s="235">
        <v>0</v>
      </c>
      <c r="I93" s="235">
        <v>0</v>
      </c>
      <c r="J93" s="235">
        <v>0</v>
      </c>
      <c r="K93" s="235">
        <v>0</v>
      </c>
      <c r="L93" s="235">
        <f t="shared" si="36"/>
        <v>0</v>
      </c>
      <c r="M93" s="221"/>
      <c r="N93" s="235">
        <v>0</v>
      </c>
      <c r="O93" s="235">
        <v>0</v>
      </c>
      <c r="P93" s="235">
        <v>0</v>
      </c>
      <c r="Q93" s="235">
        <v>0</v>
      </c>
      <c r="R93" s="235">
        <v>0</v>
      </c>
      <c r="S93" s="235">
        <v>0</v>
      </c>
      <c r="T93" s="235">
        <v>0</v>
      </c>
      <c r="U93" s="235">
        <v>0</v>
      </c>
      <c r="V93" s="235">
        <f t="shared" si="37"/>
        <v>0</v>
      </c>
      <c r="W93" s="215"/>
    </row>
    <row r="94" spans="1:23" ht="21" x14ac:dyDescent="0.35">
      <c r="A94" s="231"/>
      <c r="B94" s="232"/>
      <c r="C94" s="232"/>
      <c r="D94" s="232">
        <f t="shared" ref="D94:I94" si="38">SUM(D88:D93)</f>
        <v>247750</v>
      </c>
      <c r="E94" s="232">
        <f t="shared" si="38"/>
        <v>116100</v>
      </c>
      <c r="F94" s="232">
        <f t="shared" si="38"/>
        <v>0</v>
      </c>
      <c r="G94" s="232">
        <f t="shared" si="38"/>
        <v>219530</v>
      </c>
      <c r="H94" s="232">
        <f t="shared" si="38"/>
        <v>0</v>
      </c>
      <c r="I94" s="232">
        <f t="shared" si="38"/>
        <v>752680</v>
      </c>
      <c r="J94" s="232">
        <f>SUM(J88:J93)</f>
        <v>727000</v>
      </c>
      <c r="K94" s="232">
        <f>SUM(K88:K93)</f>
        <v>472410</v>
      </c>
      <c r="L94" s="232">
        <f>SUM(L88:L93)</f>
        <v>2535470</v>
      </c>
      <c r="M94" s="233"/>
      <c r="N94" s="232">
        <f t="shared" ref="N94:T94" si="39">SUM(N88:N93)</f>
        <v>1402460</v>
      </c>
      <c r="O94" s="232">
        <f t="shared" si="39"/>
        <v>989870</v>
      </c>
      <c r="P94" s="232">
        <f t="shared" si="39"/>
        <v>1072020</v>
      </c>
      <c r="Q94" s="232">
        <f t="shared" si="39"/>
        <v>1140320</v>
      </c>
      <c r="R94" s="232">
        <f t="shared" si="39"/>
        <v>1751490</v>
      </c>
      <c r="S94" s="232">
        <f t="shared" si="39"/>
        <v>1132570</v>
      </c>
      <c r="T94" s="232">
        <f t="shared" si="39"/>
        <v>836120</v>
      </c>
      <c r="U94" s="232">
        <f>SUM(U88:U93)</f>
        <v>3499990</v>
      </c>
      <c r="V94" s="232">
        <f>SUM(V88:V93)</f>
        <v>11824840</v>
      </c>
      <c r="W94" s="234"/>
    </row>
    <row r="95" spans="1:23" ht="21" x14ac:dyDescent="0.35">
      <c r="A95" s="217" t="s">
        <v>69</v>
      </c>
      <c r="B95" s="218" t="s">
        <v>77</v>
      </c>
      <c r="C95" s="218" t="s">
        <v>76</v>
      </c>
      <c r="D95" s="219" t="s">
        <v>71</v>
      </c>
      <c r="E95" s="219" t="s">
        <v>72</v>
      </c>
      <c r="F95" s="219" t="s">
        <v>73</v>
      </c>
      <c r="G95" s="220" t="s">
        <v>188</v>
      </c>
      <c r="H95" s="220" t="s">
        <v>189</v>
      </c>
      <c r="I95" s="220" t="s">
        <v>190</v>
      </c>
      <c r="J95" s="281" t="s">
        <v>539</v>
      </c>
      <c r="K95" s="281" t="s">
        <v>540</v>
      </c>
      <c r="L95" s="218" t="s">
        <v>75</v>
      </c>
      <c r="M95" s="221"/>
      <c r="N95" s="219" t="s">
        <v>71</v>
      </c>
      <c r="O95" s="219" t="s">
        <v>72</v>
      </c>
      <c r="P95" s="219" t="s">
        <v>73</v>
      </c>
      <c r="Q95" s="220" t="s">
        <v>188</v>
      </c>
      <c r="R95" s="220" t="s">
        <v>189</v>
      </c>
      <c r="S95" s="220" t="s">
        <v>190</v>
      </c>
      <c r="T95" s="281" t="s">
        <v>539</v>
      </c>
      <c r="U95" s="281" t="s">
        <v>540</v>
      </c>
      <c r="V95" s="218" t="s">
        <v>75</v>
      </c>
      <c r="W95" s="215"/>
    </row>
    <row r="96" spans="1:23" ht="21" customHeight="1" x14ac:dyDescent="0.35">
      <c r="A96" s="782" t="s">
        <v>933</v>
      </c>
      <c r="B96" s="222" t="s">
        <v>2</v>
      </c>
      <c r="C96" s="222" t="s">
        <v>67</v>
      </c>
      <c r="D96" s="235">
        <v>351520</v>
      </c>
      <c r="E96" s="235">
        <v>264660</v>
      </c>
      <c r="F96" s="235">
        <v>0</v>
      </c>
      <c r="G96" s="235">
        <v>546790</v>
      </c>
      <c r="H96" s="235">
        <v>1485560</v>
      </c>
      <c r="I96" s="235">
        <v>131350</v>
      </c>
      <c r="J96" s="235">
        <v>377120</v>
      </c>
      <c r="K96" s="235">
        <v>0</v>
      </c>
      <c r="L96" s="235">
        <v>3157000</v>
      </c>
      <c r="M96" s="221"/>
      <c r="N96" s="235">
        <v>195490</v>
      </c>
      <c r="O96" s="235">
        <v>833460</v>
      </c>
      <c r="P96" s="235">
        <v>362160</v>
      </c>
      <c r="Q96" s="235">
        <v>175480</v>
      </c>
      <c r="R96" s="235">
        <v>82620</v>
      </c>
      <c r="S96" s="235">
        <v>39240</v>
      </c>
      <c r="T96" s="235">
        <v>476910</v>
      </c>
      <c r="U96" s="235">
        <v>3694970</v>
      </c>
      <c r="V96" s="235">
        <v>5860330</v>
      </c>
      <c r="W96" s="215"/>
    </row>
    <row r="97" spans="1:23" ht="21" x14ac:dyDescent="0.35">
      <c r="A97" s="783"/>
      <c r="B97" s="222" t="s">
        <v>2</v>
      </c>
      <c r="C97" s="222" t="s">
        <v>65</v>
      </c>
      <c r="D97" s="235">
        <v>284000</v>
      </c>
      <c r="E97" s="235">
        <v>352760</v>
      </c>
      <c r="F97" s="235">
        <v>25590</v>
      </c>
      <c r="G97" s="235">
        <v>78530</v>
      </c>
      <c r="H97" s="235">
        <v>334720</v>
      </c>
      <c r="I97" s="235">
        <v>0</v>
      </c>
      <c r="J97" s="235">
        <v>26950</v>
      </c>
      <c r="K97" s="235">
        <v>0</v>
      </c>
      <c r="L97" s="235">
        <v>1102550</v>
      </c>
      <c r="M97" s="221"/>
      <c r="N97" s="235">
        <v>0</v>
      </c>
      <c r="O97" s="235">
        <v>542270</v>
      </c>
      <c r="P97" s="235">
        <v>0</v>
      </c>
      <c r="Q97" s="235">
        <v>612200</v>
      </c>
      <c r="R97" s="235">
        <v>0</v>
      </c>
      <c r="S97" s="235">
        <v>347410</v>
      </c>
      <c r="T97" s="235">
        <v>0</v>
      </c>
      <c r="U97" s="235">
        <v>928150</v>
      </c>
      <c r="V97" s="235">
        <v>2430030</v>
      </c>
      <c r="W97" s="215"/>
    </row>
    <row r="98" spans="1:23" ht="21" x14ac:dyDescent="0.35">
      <c r="A98" s="783"/>
      <c r="B98" s="222" t="s">
        <v>2</v>
      </c>
      <c r="C98" s="222" t="s">
        <v>74</v>
      </c>
      <c r="D98" s="235">
        <v>678570</v>
      </c>
      <c r="E98" s="235">
        <v>1365790</v>
      </c>
      <c r="F98" s="235">
        <v>477280</v>
      </c>
      <c r="G98" s="235">
        <v>77170</v>
      </c>
      <c r="H98" s="235">
        <v>0</v>
      </c>
      <c r="I98" s="235">
        <v>1807720</v>
      </c>
      <c r="J98" s="235">
        <v>0</v>
      </c>
      <c r="K98" s="235">
        <v>0</v>
      </c>
      <c r="L98" s="235">
        <v>4406530</v>
      </c>
      <c r="M98" s="221"/>
      <c r="N98" s="235">
        <v>0</v>
      </c>
      <c r="O98" s="235">
        <v>318770</v>
      </c>
      <c r="P98" s="235">
        <v>160700</v>
      </c>
      <c r="Q98" s="235">
        <v>793390</v>
      </c>
      <c r="R98" s="235">
        <v>0</v>
      </c>
      <c r="S98" s="235">
        <v>661630</v>
      </c>
      <c r="T98" s="235">
        <v>150620</v>
      </c>
      <c r="U98" s="235">
        <v>2234950</v>
      </c>
      <c r="V98" s="235">
        <v>4320060</v>
      </c>
      <c r="W98" s="215"/>
    </row>
    <row r="99" spans="1:23" ht="21" x14ac:dyDescent="0.35">
      <c r="A99" s="783"/>
      <c r="B99" s="222" t="s">
        <v>2</v>
      </c>
      <c r="C99" s="222" t="s">
        <v>138</v>
      </c>
      <c r="D99" s="235">
        <v>946850</v>
      </c>
      <c r="E99" s="235">
        <v>507760</v>
      </c>
      <c r="F99" s="235">
        <v>864870</v>
      </c>
      <c r="G99" s="235">
        <v>116560</v>
      </c>
      <c r="H99" s="235">
        <v>308940</v>
      </c>
      <c r="I99" s="235">
        <v>75870</v>
      </c>
      <c r="J99" s="235">
        <v>599360</v>
      </c>
      <c r="K99" s="235">
        <v>0</v>
      </c>
      <c r="L99" s="235">
        <v>3420210</v>
      </c>
      <c r="M99" s="221"/>
      <c r="N99" s="235">
        <v>0</v>
      </c>
      <c r="O99" s="235">
        <v>82600</v>
      </c>
      <c r="P99" s="235">
        <v>0</v>
      </c>
      <c r="Q99" s="235">
        <v>96240</v>
      </c>
      <c r="R99" s="235">
        <v>285360</v>
      </c>
      <c r="S99" s="235">
        <v>0</v>
      </c>
      <c r="T99" s="235">
        <v>227300</v>
      </c>
      <c r="U99" s="235">
        <v>2218860</v>
      </c>
      <c r="V99" s="235">
        <v>2910360</v>
      </c>
      <c r="W99" s="215"/>
    </row>
    <row r="100" spans="1:23" ht="21" x14ac:dyDescent="0.35">
      <c r="A100" s="783"/>
      <c r="B100" s="222" t="s">
        <v>2</v>
      </c>
      <c r="C100" s="222" t="s">
        <v>167</v>
      </c>
      <c r="D100" s="235">
        <v>0</v>
      </c>
      <c r="E100" s="235">
        <v>106330</v>
      </c>
      <c r="F100" s="235">
        <v>550590</v>
      </c>
      <c r="G100" s="235">
        <v>482290</v>
      </c>
      <c r="H100" s="235">
        <v>441810</v>
      </c>
      <c r="I100" s="235">
        <v>182300</v>
      </c>
      <c r="J100" s="235">
        <v>556220</v>
      </c>
      <c r="K100" s="235">
        <v>0</v>
      </c>
      <c r="L100" s="235">
        <v>2319540</v>
      </c>
      <c r="M100" s="221"/>
      <c r="N100" s="235">
        <v>0</v>
      </c>
      <c r="O100" s="235">
        <v>0</v>
      </c>
      <c r="P100" s="235">
        <v>0</v>
      </c>
      <c r="Q100" s="235">
        <v>0</v>
      </c>
      <c r="R100" s="235">
        <v>0</v>
      </c>
      <c r="S100" s="235">
        <v>0</v>
      </c>
      <c r="T100" s="235">
        <v>0</v>
      </c>
      <c r="U100" s="235">
        <v>2319540</v>
      </c>
      <c r="V100" s="235">
        <v>2319540</v>
      </c>
      <c r="W100" s="215"/>
    </row>
    <row r="101" spans="1:23" ht="21" x14ac:dyDescent="0.35">
      <c r="A101" s="784"/>
      <c r="B101" s="222" t="s">
        <v>2</v>
      </c>
      <c r="C101" s="222" t="s">
        <v>292</v>
      </c>
      <c r="D101" s="235">
        <v>0</v>
      </c>
      <c r="E101" s="235">
        <v>0</v>
      </c>
      <c r="F101" s="235">
        <v>0</v>
      </c>
      <c r="G101" s="235">
        <v>0</v>
      </c>
      <c r="H101" s="235">
        <v>0</v>
      </c>
      <c r="I101" s="235">
        <v>0</v>
      </c>
      <c r="J101" s="235">
        <v>0</v>
      </c>
      <c r="K101" s="235">
        <v>0</v>
      </c>
      <c r="L101" s="235">
        <v>0</v>
      </c>
      <c r="M101" s="221"/>
      <c r="N101" s="235">
        <v>0</v>
      </c>
      <c r="O101" s="235">
        <v>0</v>
      </c>
      <c r="P101" s="235">
        <v>0</v>
      </c>
      <c r="Q101" s="235">
        <v>0</v>
      </c>
      <c r="R101" s="235">
        <v>0</v>
      </c>
      <c r="S101" s="235">
        <v>0</v>
      </c>
      <c r="T101" s="235">
        <v>0</v>
      </c>
      <c r="U101" s="235">
        <v>0</v>
      </c>
      <c r="V101" s="235">
        <v>0</v>
      </c>
      <c r="W101" s="215"/>
    </row>
    <row r="102" spans="1:23" ht="21" x14ac:dyDescent="0.35">
      <c r="A102" s="231"/>
      <c r="B102" s="232"/>
      <c r="C102" s="232"/>
      <c r="D102" s="232">
        <f t="shared" ref="D102:I102" si="40">SUM(D96:D101)</f>
        <v>2260940</v>
      </c>
      <c r="E102" s="232">
        <f t="shared" si="40"/>
        <v>2597300</v>
      </c>
      <c r="F102" s="232">
        <f t="shared" si="40"/>
        <v>1918330</v>
      </c>
      <c r="G102" s="232">
        <f t="shared" si="40"/>
        <v>1301340</v>
      </c>
      <c r="H102" s="232">
        <f t="shared" si="40"/>
        <v>2571030</v>
      </c>
      <c r="I102" s="232">
        <f t="shared" si="40"/>
        <v>2197240</v>
      </c>
      <c r="J102" s="232">
        <f>SUM(J96:J101)</f>
        <v>1559650</v>
      </c>
      <c r="K102" s="232">
        <f>SUM(K96:K101)</f>
        <v>0</v>
      </c>
      <c r="L102" s="232">
        <f>SUM(L96:L101)</f>
        <v>14405830</v>
      </c>
      <c r="M102" s="233"/>
      <c r="N102" s="232">
        <f t="shared" ref="N102:T102" si="41">SUM(N96:N101)</f>
        <v>195490</v>
      </c>
      <c r="O102" s="232">
        <f t="shared" si="41"/>
        <v>1777100</v>
      </c>
      <c r="P102" s="232">
        <f t="shared" si="41"/>
        <v>522860</v>
      </c>
      <c r="Q102" s="232">
        <f t="shared" si="41"/>
        <v>1677310</v>
      </c>
      <c r="R102" s="232">
        <f t="shared" si="41"/>
        <v>367980</v>
      </c>
      <c r="S102" s="232">
        <f t="shared" si="41"/>
        <v>1048280</v>
      </c>
      <c r="T102" s="232">
        <f t="shared" si="41"/>
        <v>854830</v>
      </c>
      <c r="U102" s="232">
        <f>SUM(U96:U101)</f>
        <v>11396470</v>
      </c>
      <c r="V102" s="232">
        <f>SUM(V96:V101)</f>
        <v>17840320</v>
      </c>
      <c r="W102" s="234"/>
    </row>
    <row r="103" spans="1:23" ht="21" x14ac:dyDescent="0.35">
      <c r="A103" s="217" t="s">
        <v>69</v>
      </c>
      <c r="B103" s="218" t="s">
        <v>77</v>
      </c>
      <c r="C103" s="218" t="s">
        <v>76</v>
      </c>
      <c r="D103" s="219" t="s">
        <v>71</v>
      </c>
      <c r="E103" s="219" t="s">
        <v>72</v>
      </c>
      <c r="F103" s="219" t="s">
        <v>73</v>
      </c>
      <c r="G103" s="220" t="s">
        <v>188</v>
      </c>
      <c r="H103" s="220" t="s">
        <v>189</v>
      </c>
      <c r="I103" s="220" t="s">
        <v>190</v>
      </c>
      <c r="J103" s="281" t="s">
        <v>539</v>
      </c>
      <c r="K103" s="281" t="s">
        <v>540</v>
      </c>
      <c r="L103" s="218" t="s">
        <v>75</v>
      </c>
      <c r="M103" s="221"/>
      <c r="N103" s="219" t="s">
        <v>71</v>
      </c>
      <c r="O103" s="219" t="s">
        <v>72</v>
      </c>
      <c r="P103" s="219" t="s">
        <v>73</v>
      </c>
      <c r="Q103" s="220" t="s">
        <v>188</v>
      </c>
      <c r="R103" s="220" t="s">
        <v>189</v>
      </c>
      <c r="S103" s="220" t="s">
        <v>190</v>
      </c>
      <c r="T103" s="281" t="s">
        <v>539</v>
      </c>
      <c r="U103" s="281" t="s">
        <v>540</v>
      </c>
      <c r="V103" s="218" t="s">
        <v>75</v>
      </c>
      <c r="W103" s="215"/>
    </row>
    <row r="104" spans="1:23" ht="21" customHeight="1" x14ac:dyDescent="0.35">
      <c r="A104" s="782" t="s">
        <v>1004</v>
      </c>
      <c r="B104" s="222" t="s">
        <v>2</v>
      </c>
      <c r="C104" s="222" t="s">
        <v>67</v>
      </c>
      <c r="D104" s="235">
        <v>0</v>
      </c>
      <c r="E104" s="235">
        <v>0</v>
      </c>
      <c r="F104" s="235">
        <v>0</v>
      </c>
      <c r="G104" s="235">
        <v>0</v>
      </c>
      <c r="H104" s="235">
        <v>0</v>
      </c>
      <c r="I104" s="235">
        <v>0</v>
      </c>
      <c r="J104" s="235">
        <v>0</v>
      </c>
      <c r="K104" s="235">
        <v>0</v>
      </c>
      <c r="L104" s="235">
        <v>0</v>
      </c>
      <c r="M104" s="235"/>
      <c r="N104" s="235">
        <v>0</v>
      </c>
      <c r="O104" s="235">
        <v>0</v>
      </c>
      <c r="P104" s="235">
        <v>0</v>
      </c>
      <c r="Q104" s="235">
        <v>25540</v>
      </c>
      <c r="R104" s="235">
        <v>86640</v>
      </c>
      <c r="S104" s="235">
        <v>0</v>
      </c>
      <c r="T104" s="235">
        <v>491550</v>
      </c>
      <c r="U104" s="235">
        <v>0</v>
      </c>
      <c r="V104" s="235">
        <v>603730</v>
      </c>
      <c r="W104" s="215"/>
    </row>
    <row r="105" spans="1:23" ht="21" x14ac:dyDescent="0.35">
      <c r="A105" s="783"/>
      <c r="B105" s="222" t="s">
        <v>2</v>
      </c>
      <c r="C105" s="222" t="s">
        <v>65</v>
      </c>
      <c r="D105" s="235">
        <v>0</v>
      </c>
      <c r="E105" s="235">
        <v>0</v>
      </c>
      <c r="F105" s="235">
        <v>0</v>
      </c>
      <c r="G105" s="235">
        <v>547490</v>
      </c>
      <c r="H105" s="235">
        <v>0</v>
      </c>
      <c r="I105" s="235">
        <v>0</v>
      </c>
      <c r="J105" s="235">
        <v>597660</v>
      </c>
      <c r="K105" s="235">
        <v>0</v>
      </c>
      <c r="L105" s="235">
        <v>1145150</v>
      </c>
      <c r="M105" s="221"/>
      <c r="N105" s="235">
        <v>0</v>
      </c>
      <c r="O105" s="235">
        <v>368700</v>
      </c>
      <c r="P105" s="235">
        <v>268600</v>
      </c>
      <c r="Q105" s="235">
        <v>0</v>
      </c>
      <c r="R105" s="235">
        <v>0</v>
      </c>
      <c r="S105" s="235">
        <v>0</v>
      </c>
      <c r="T105" s="235">
        <v>597570</v>
      </c>
      <c r="U105" s="235">
        <v>0</v>
      </c>
      <c r="V105" s="235">
        <v>1234870</v>
      </c>
      <c r="W105" s="215"/>
    </row>
    <row r="106" spans="1:23" ht="21" x14ac:dyDescent="0.35">
      <c r="A106" s="783"/>
      <c r="B106" s="222" t="s">
        <v>2</v>
      </c>
      <c r="C106" s="222" t="s">
        <v>74</v>
      </c>
      <c r="D106" s="235">
        <v>0</v>
      </c>
      <c r="E106" s="235">
        <v>0</v>
      </c>
      <c r="F106" s="235">
        <v>495710</v>
      </c>
      <c r="G106" s="235">
        <v>0</v>
      </c>
      <c r="H106" s="235">
        <v>0</v>
      </c>
      <c r="I106" s="235">
        <v>0</v>
      </c>
      <c r="J106" s="235">
        <v>442550</v>
      </c>
      <c r="K106" s="235">
        <v>0</v>
      </c>
      <c r="L106" s="235">
        <v>938260</v>
      </c>
      <c r="M106" s="221"/>
      <c r="N106" s="235">
        <v>358220</v>
      </c>
      <c r="O106" s="235">
        <v>871130</v>
      </c>
      <c r="P106" s="235">
        <v>311100</v>
      </c>
      <c r="Q106" s="235">
        <v>0</v>
      </c>
      <c r="R106" s="235">
        <v>0</v>
      </c>
      <c r="S106" s="235">
        <v>0</v>
      </c>
      <c r="T106" s="235">
        <v>442470</v>
      </c>
      <c r="U106" s="235">
        <v>0</v>
      </c>
      <c r="V106" s="235">
        <v>1982920</v>
      </c>
      <c r="W106" s="215"/>
    </row>
    <row r="107" spans="1:23" ht="21" x14ac:dyDescent="0.35">
      <c r="A107" s="783"/>
      <c r="B107" s="222" t="s">
        <v>2</v>
      </c>
      <c r="C107" s="222" t="s">
        <v>138</v>
      </c>
      <c r="D107" s="235">
        <v>0</v>
      </c>
      <c r="E107" s="235">
        <v>0</v>
      </c>
      <c r="F107" s="235">
        <v>0</v>
      </c>
      <c r="G107" s="235">
        <v>0</v>
      </c>
      <c r="H107" s="235">
        <v>0</v>
      </c>
      <c r="I107" s="235">
        <v>0</v>
      </c>
      <c r="J107" s="235">
        <v>0</v>
      </c>
      <c r="K107" s="235">
        <v>0</v>
      </c>
      <c r="L107" s="235">
        <v>0</v>
      </c>
      <c r="M107" s="221"/>
      <c r="N107" s="235">
        <v>0</v>
      </c>
      <c r="O107" s="235">
        <v>0</v>
      </c>
      <c r="P107" s="235">
        <v>68590</v>
      </c>
      <c r="Q107" s="235">
        <v>82460</v>
      </c>
      <c r="R107" s="235">
        <v>0</v>
      </c>
      <c r="S107" s="235">
        <v>0</v>
      </c>
      <c r="T107" s="235">
        <v>0</v>
      </c>
      <c r="U107" s="235">
        <v>0</v>
      </c>
      <c r="V107" s="235">
        <v>151050</v>
      </c>
      <c r="W107" s="215"/>
    </row>
    <row r="108" spans="1:23" ht="21" x14ac:dyDescent="0.35">
      <c r="A108" s="783"/>
      <c r="B108" s="222" t="s">
        <v>2</v>
      </c>
      <c r="C108" s="222" t="s">
        <v>167</v>
      </c>
      <c r="D108" s="235">
        <v>0</v>
      </c>
      <c r="E108" s="235">
        <v>0</v>
      </c>
      <c r="F108" s="235">
        <v>0</v>
      </c>
      <c r="G108" s="235">
        <v>0</v>
      </c>
      <c r="H108" s="235">
        <v>0</v>
      </c>
      <c r="I108" s="235">
        <v>0</v>
      </c>
      <c r="J108" s="235">
        <v>0</v>
      </c>
      <c r="K108" s="235">
        <v>0</v>
      </c>
      <c r="L108" s="235">
        <v>0</v>
      </c>
      <c r="M108" s="221"/>
      <c r="N108" s="235">
        <v>0</v>
      </c>
      <c r="O108" s="235">
        <v>0</v>
      </c>
      <c r="P108" s="235">
        <v>129140</v>
      </c>
      <c r="Q108" s="235">
        <v>0</v>
      </c>
      <c r="R108" s="235">
        <v>0</v>
      </c>
      <c r="S108" s="235">
        <v>0</v>
      </c>
      <c r="T108" s="235">
        <v>0</v>
      </c>
      <c r="U108" s="235">
        <v>0</v>
      </c>
      <c r="V108" s="235">
        <v>129140</v>
      </c>
      <c r="W108" s="215"/>
    </row>
    <row r="109" spans="1:23" ht="21" x14ac:dyDescent="0.35">
      <c r="A109" s="784"/>
      <c r="B109" s="222" t="s">
        <v>2</v>
      </c>
      <c r="C109" s="222" t="s">
        <v>292</v>
      </c>
      <c r="D109" s="235">
        <v>0</v>
      </c>
      <c r="E109" s="235">
        <v>0</v>
      </c>
      <c r="F109" s="235">
        <v>0</v>
      </c>
      <c r="G109" s="235">
        <v>0</v>
      </c>
      <c r="H109" s="235">
        <v>0</v>
      </c>
      <c r="I109" s="235">
        <v>0</v>
      </c>
      <c r="J109" s="235">
        <v>0</v>
      </c>
      <c r="K109" s="235">
        <v>0</v>
      </c>
      <c r="L109" s="235">
        <v>0</v>
      </c>
      <c r="M109" s="221"/>
      <c r="N109" s="235">
        <v>0</v>
      </c>
      <c r="O109" s="235">
        <v>0</v>
      </c>
      <c r="P109" s="235">
        <v>0</v>
      </c>
      <c r="Q109" s="235">
        <v>0</v>
      </c>
      <c r="R109" s="235">
        <v>0</v>
      </c>
      <c r="S109" s="235">
        <v>0</v>
      </c>
      <c r="T109" s="235">
        <v>0</v>
      </c>
      <c r="U109" s="235">
        <v>0</v>
      </c>
      <c r="V109" s="235">
        <v>0</v>
      </c>
      <c r="W109" s="215"/>
    </row>
    <row r="110" spans="1:23" ht="21" x14ac:dyDescent="0.35">
      <c r="A110" s="231"/>
      <c r="B110" s="232"/>
      <c r="C110" s="232"/>
      <c r="D110" s="232">
        <v>0</v>
      </c>
      <c r="E110" s="232">
        <v>0</v>
      </c>
      <c r="F110" s="232">
        <v>495710</v>
      </c>
      <c r="G110" s="232">
        <v>547490</v>
      </c>
      <c r="H110" s="232">
        <v>0</v>
      </c>
      <c r="I110" s="232">
        <v>0</v>
      </c>
      <c r="J110" s="232">
        <v>1040210</v>
      </c>
      <c r="K110" s="232">
        <v>0</v>
      </c>
      <c r="L110" s="232">
        <v>2083410</v>
      </c>
      <c r="M110" s="233"/>
      <c r="N110" s="232">
        <v>358220</v>
      </c>
      <c r="O110" s="232">
        <v>1239830</v>
      </c>
      <c r="P110" s="232">
        <v>777430</v>
      </c>
      <c r="Q110" s="232">
        <v>108000</v>
      </c>
      <c r="R110" s="232">
        <v>86640</v>
      </c>
      <c r="S110" s="232">
        <v>0</v>
      </c>
      <c r="T110" s="232">
        <v>1531590</v>
      </c>
      <c r="U110" s="232">
        <v>0</v>
      </c>
      <c r="V110" s="232">
        <v>4101710</v>
      </c>
      <c r="W110" s="234"/>
    </row>
    <row r="111" spans="1:23" ht="21" x14ac:dyDescent="0.35">
      <c r="A111" s="217" t="s">
        <v>69</v>
      </c>
      <c r="B111" s="218" t="s">
        <v>77</v>
      </c>
      <c r="C111" s="218" t="s">
        <v>76</v>
      </c>
      <c r="D111" s="219" t="s">
        <v>71</v>
      </c>
      <c r="E111" s="219" t="s">
        <v>72</v>
      </c>
      <c r="F111" s="219" t="s">
        <v>73</v>
      </c>
      <c r="G111" s="220" t="s">
        <v>188</v>
      </c>
      <c r="H111" s="220" t="s">
        <v>189</v>
      </c>
      <c r="I111" s="220" t="s">
        <v>190</v>
      </c>
      <c r="J111" s="281" t="s">
        <v>539</v>
      </c>
      <c r="K111" s="281" t="s">
        <v>540</v>
      </c>
      <c r="L111" s="218" t="s">
        <v>75</v>
      </c>
      <c r="M111" s="221"/>
      <c r="N111" s="219" t="s">
        <v>71</v>
      </c>
      <c r="O111" s="219" t="s">
        <v>72</v>
      </c>
      <c r="P111" s="219" t="s">
        <v>73</v>
      </c>
      <c r="Q111" s="220" t="s">
        <v>188</v>
      </c>
      <c r="R111" s="220" t="s">
        <v>189</v>
      </c>
      <c r="S111" s="220" t="s">
        <v>190</v>
      </c>
      <c r="T111" s="281" t="s">
        <v>539</v>
      </c>
      <c r="U111" s="281" t="s">
        <v>540</v>
      </c>
      <c r="V111" s="218" t="s">
        <v>75</v>
      </c>
      <c r="W111" s="234"/>
    </row>
    <row r="112" spans="1:23" ht="21" customHeight="1" x14ac:dyDescent="0.35">
      <c r="A112" s="782" t="s">
        <v>1058</v>
      </c>
      <c r="B112" s="222" t="s">
        <v>2</v>
      </c>
      <c r="C112" s="222" t="s">
        <v>67</v>
      </c>
      <c r="D112" s="235">
        <v>0</v>
      </c>
      <c r="E112" s="235">
        <v>0</v>
      </c>
      <c r="F112" s="235">
        <v>0</v>
      </c>
      <c r="G112" s="235">
        <v>0</v>
      </c>
      <c r="H112" s="235">
        <v>0</v>
      </c>
      <c r="I112" s="235">
        <v>0</v>
      </c>
      <c r="J112" s="235">
        <v>0</v>
      </c>
      <c r="K112" s="235">
        <v>0</v>
      </c>
      <c r="L112" s="235">
        <v>0</v>
      </c>
      <c r="M112" s="221"/>
      <c r="N112" s="235">
        <v>0</v>
      </c>
      <c r="O112" s="235">
        <v>0</v>
      </c>
      <c r="P112" s="235">
        <v>0</v>
      </c>
      <c r="Q112" s="235">
        <v>0</v>
      </c>
      <c r="R112" s="235">
        <v>0</v>
      </c>
      <c r="S112" s="235">
        <v>0</v>
      </c>
      <c r="T112" s="235">
        <v>0</v>
      </c>
      <c r="U112" s="235">
        <v>0</v>
      </c>
      <c r="V112" s="235">
        <v>0</v>
      </c>
      <c r="W112" s="234"/>
    </row>
    <row r="113" spans="1:23" ht="21" x14ac:dyDescent="0.35">
      <c r="A113" s="783"/>
      <c r="B113" s="222" t="s">
        <v>2</v>
      </c>
      <c r="C113" s="222" t="s">
        <v>65</v>
      </c>
      <c r="D113" s="235">
        <v>0</v>
      </c>
      <c r="E113" s="235">
        <v>1542610</v>
      </c>
      <c r="F113" s="235">
        <v>0</v>
      </c>
      <c r="G113" s="235">
        <v>0</v>
      </c>
      <c r="H113" s="235">
        <v>57070</v>
      </c>
      <c r="I113" s="235">
        <v>0</v>
      </c>
      <c r="J113" s="235">
        <v>266370</v>
      </c>
      <c r="K113" s="235">
        <v>0</v>
      </c>
      <c r="L113" s="235">
        <v>1866050</v>
      </c>
      <c r="M113" s="221"/>
      <c r="N113" s="235">
        <v>491030</v>
      </c>
      <c r="O113" s="235">
        <v>0</v>
      </c>
      <c r="P113" s="235">
        <v>527740</v>
      </c>
      <c r="Q113" s="235">
        <v>0</v>
      </c>
      <c r="R113" s="235">
        <v>0</v>
      </c>
      <c r="S113" s="235">
        <v>0</v>
      </c>
      <c r="T113" s="235">
        <v>0</v>
      </c>
      <c r="U113" s="235">
        <v>0</v>
      </c>
      <c r="V113" s="235">
        <v>1018770</v>
      </c>
      <c r="W113" s="234"/>
    </row>
    <row r="114" spans="1:23" ht="21" x14ac:dyDescent="0.35">
      <c r="A114" s="783"/>
      <c r="B114" s="222" t="s">
        <v>2</v>
      </c>
      <c r="C114" s="222" t="s">
        <v>74</v>
      </c>
      <c r="D114" s="235">
        <v>426170</v>
      </c>
      <c r="E114" s="235">
        <v>0</v>
      </c>
      <c r="F114" s="235">
        <v>1103100</v>
      </c>
      <c r="G114" s="235">
        <v>268180</v>
      </c>
      <c r="H114" s="235">
        <v>152070</v>
      </c>
      <c r="I114" s="235">
        <v>0</v>
      </c>
      <c r="J114" s="235">
        <v>1018860</v>
      </c>
      <c r="K114" s="235">
        <v>0</v>
      </c>
      <c r="L114" s="235">
        <v>2968380</v>
      </c>
      <c r="M114" s="221"/>
      <c r="N114" s="235">
        <v>0</v>
      </c>
      <c r="O114" s="235">
        <v>0</v>
      </c>
      <c r="P114" s="235">
        <v>268510</v>
      </c>
      <c r="Q114" s="235">
        <v>0</v>
      </c>
      <c r="R114" s="235">
        <v>0</v>
      </c>
      <c r="S114" s="235">
        <v>0</v>
      </c>
      <c r="T114" s="235">
        <v>208960</v>
      </c>
      <c r="U114" s="235">
        <v>0</v>
      </c>
      <c r="V114" s="235">
        <v>477470</v>
      </c>
      <c r="W114" s="234"/>
    </row>
    <row r="115" spans="1:23" ht="21" x14ac:dyDescent="0.35">
      <c r="A115" s="783"/>
      <c r="B115" s="222" t="s">
        <v>2</v>
      </c>
      <c r="C115" s="222" t="s">
        <v>138</v>
      </c>
      <c r="D115" s="235">
        <v>0</v>
      </c>
      <c r="E115" s="235">
        <v>0</v>
      </c>
      <c r="F115" s="235">
        <v>0</v>
      </c>
      <c r="G115" s="235">
        <v>0</v>
      </c>
      <c r="H115" s="235">
        <v>0</v>
      </c>
      <c r="I115" s="235">
        <v>0</v>
      </c>
      <c r="J115" s="235">
        <v>0</v>
      </c>
      <c r="K115" s="235">
        <v>0</v>
      </c>
      <c r="L115" s="235">
        <v>0</v>
      </c>
      <c r="M115" s="221"/>
      <c r="N115" s="235">
        <v>0</v>
      </c>
      <c r="O115" s="235">
        <v>0</v>
      </c>
      <c r="P115" s="235">
        <v>409530</v>
      </c>
      <c r="Q115" s="235">
        <v>0</v>
      </c>
      <c r="R115" s="235">
        <v>0</v>
      </c>
      <c r="S115" s="235">
        <v>0</v>
      </c>
      <c r="T115" s="235">
        <v>0</v>
      </c>
      <c r="U115" s="235">
        <v>0</v>
      </c>
      <c r="V115" s="235">
        <v>409530</v>
      </c>
      <c r="W115" s="234"/>
    </row>
    <row r="116" spans="1:23" ht="21" x14ac:dyDescent="0.35">
      <c r="A116" s="783"/>
      <c r="B116" s="222" t="s">
        <v>2</v>
      </c>
      <c r="C116" s="222" t="s">
        <v>167</v>
      </c>
      <c r="D116" s="235">
        <v>0</v>
      </c>
      <c r="E116" s="235">
        <v>0</v>
      </c>
      <c r="F116" s="235">
        <v>0</v>
      </c>
      <c r="G116" s="235">
        <v>0</v>
      </c>
      <c r="H116" s="235">
        <v>0</v>
      </c>
      <c r="I116" s="235">
        <v>0</v>
      </c>
      <c r="J116" s="235">
        <v>0</v>
      </c>
      <c r="K116" s="235">
        <v>0</v>
      </c>
      <c r="L116" s="235">
        <v>0</v>
      </c>
      <c r="M116" s="221"/>
      <c r="N116" s="235">
        <v>0</v>
      </c>
      <c r="O116" s="235">
        <v>0</v>
      </c>
      <c r="P116" s="235">
        <v>0</v>
      </c>
      <c r="Q116" s="235">
        <v>0</v>
      </c>
      <c r="R116" s="235">
        <v>0</v>
      </c>
      <c r="S116" s="235">
        <v>0</v>
      </c>
      <c r="T116" s="235">
        <v>0</v>
      </c>
      <c r="U116" s="235">
        <v>0</v>
      </c>
      <c r="V116" s="235">
        <v>0</v>
      </c>
      <c r="W116" s="234"/>
    </row>
    <row r="117" spans="1:23" ht="21" x14ac:dyDescent="0.35">
      <c r="A117" s="784"/>
      <c r="B117" s="222" t="s">
        <v>2</v>
      </c>
      <c r="C117" s="222" t="s">
        <v>292</v>
      </c>
      <c r="D117" s="235">
        <v>0</v>
      </c>
      <c r="E117" s="235">
        <v>0</v>
      </c>
      <c r="F117" s="235">
        <v>0</v>
      </c>
      <c r="G117" s="235">
        <v>0</v>
      </c>
      <c r="H117" s="235">
        <v>0</v>
      </c>
      <c r="I117" s="235">
        <v>0</v>
      </c>
      <c r="J117" s="235">
        <v>0</v>
      </c>
      <c r="K117" s="235">
        <v>0</v>
      </c>
      <c r="L117" s="235">
        <v>0</v>
      </c>
      <c r="M117" s="221"/>
      <c r="N117" s="235">
        <v>0</v>
      </c>
      <c r="O117" s="235">
        <v>0</v>
      </c>
      <c r="P117" s="235">
        <v>0</v>
      </c>
      <c r="Q117" s="235">
        <v>0</v>
      </c>
      <c r="R117" s="235">
        <v>0</v>
      </c>
      <c r="S117" s="235">
        <v>0</v>
      </c>
      <c r="T117" s="235">
        <v>0</v>
      </c>
      <c r="U117" s="235">
        <v>0</v>
      </c>
      <c r="V117" s="235">
        <v>0</v>
      </c>
      <c r="W117" s="234"/>
    </row>
    <row r="118" spans="1:23" ht="21" x14ac:dyDescent="0.35">
      <c r="A118" s="231"/>
      <c r="B118" s="232"/>
      <c r="C118" s="232"/>
      <c r="D118" s="232">
        <f>SUM(D112:D117)</f>
        <v>426170</v>
      </c>
      <c r="E118" s="232">
        <f>SUM(E112:E117)</f>
        <v>1542610</v>
      </c>
      <c r="F118" s="232">
        <f>SUM(F112:F117)</f>
        <v>1103100</v>
      </c>
      <c r="G118" s="232">
        <f t="shared" ref="G118:I118" si="42">SUM(G112:G117)</f>
        <v>268180</v>
      </c>
      <c r="H118" s="232">
        <f t="shared" si="42"/>
        <v>209140</v>
      </c>
      <c r="I118" s="232">
        <f t="shared" si="42"/>
        <v>0</v>
      </c>
      <c r="J118" s="232">
        <f>SUM(J112:J117)</f>
        <v>1285230</v>
      </c>
      <c r="K118" s="232">
        <f>SUM(K112:K117)</f>
        <v>0</v>
      </c>
      <c r="L118" s="232">
        <f>SUM(L112:L117)</f>
        <v>4834430</v>
      </c>
      <c r="M118" s="233"/>
      <c r="N118" s="232">
        <f t="shared" ref="N118:T118" si="43">SUM(N112:N117)</f>
        <v>491030</v>
      </c>
      <c r="O118" s="232">
        <f t="shared" si="43"/>
        <v>0</v>
      </c>
      <c r="P118" s="232">
        <f t="shared" si="43"/>
        <v>1205780</v>
      </c>
      <c r="Q118" s="232">
        <f t="shared" si="43"/>
        <v>0</v>
      </c>
      <c r="R118" s="232">
        <f t="shared" si="43"/>
        <v>0</v>
      </c>
      <c r="S118" s="232">
        <f t="shared" si="43"/>
        <v>0</v>
      </c>
      <c r="T118" s="232">
        <f t="shared" si="43"/>
        <v>208960</v>
      </c>
      <c r="U118" s="232">
        <f>SUM(U112:U117)</f>
        <v>0</v>
      </c>
      <c r="V118" s="232">
        <f>SUM(V112:V117)</f>
        <v>1905770</v>
      </c>
      <c r="W118" s="234"/>
    </row>
    <row r="119" spans="1:23" ht="21" x14ac:dyDescent="0.35">
      <c r="A119" s="217" t="s">
        <v>69</v>
      </c>
      <c r="B119" s="218" t="s">
        <v>77</v>
      </c>
      <c r="C119" s="218" t="s">
        <v>76</v>
      </c>
      <c r="D119" s="219" t="s">
        <v>71</v>
      </c>
      <c r="E119" s="219" t="s">
        <v>72</v>
      </c>
      <c r="F119" s="219" t="s">
        <v>73</v>
      </c>
      <c r="G119" s="220" t="s">
        <v>188</v>
      </c>
      <c r="H119" s="220" t="s">
        <v>189</v>
      </c>
      <c r="I119" s="220" t="s">
        <v>190</v>
      </c>
      <c r="J119" s="281" t="s">
        <v>539</v>
      </c>
      <c r="K119" s="281" t="s">
        <v>540</v>
      </c>
      <c r="L119" s="218" t="s">
        <v>75</v>
      </c>
      <c r="M119" s="221"/>
      <c r="N119" s="219" t="s">
        <v>71</v>
      </c>
      <c r="O119" s="219" t="s">
        <v>72</v>
      </c>
      <c r="P119" s="219" t="s">
        <v>73</v>
      </c>
      <c r="Q119" s="220" t="s">
        <v>188</v>
      </c>
      <c r="R119" s="220" t="s">
        <v>189</v>
      </c>
      <c r="S119" s="220" t="s">
        <v>190</v>
      </c>
      <c r="T119" s="281" t="s">
        <v>539</v>
      </c>
      <c r="U119" s="281" t="s">
        <v>540</v>
      </c>
      <c r="V119" s="218" t="s">
        <v>75</v>
      </c>
      <c r="W119" s="234"/>
    </row>
    <row r="120" spans="1:23" ht="21" customHeight="1" x14ac:dyDescent="0.35">
      <c r="A120" s="782" t="s">
        <v>1094</v>
      </c>
      <c r="B120" s="222" t="s">
        <v>2</v>
      </c>
      <c r="C120" s="222" t="s">
        <v>67</v>
      </c>
      <c r="D120" s="235">
        <v>0</v>
      </c>
      <c r="E120" s="235">
        <v>0</v>
      </c>
      <c r="F120" s="235">
        <v>0</v>
      </c>
      <c r="G120" s="235">
        <v>0</v>
      </c>
      <c r="H120" s="235">
        <v>0</v>
      </c>
      <c r="I120" s="235">
        <v>0</v>
      </c>
      <c r="J120" s="235">
        <v>0</v>
      </c>
      <c r="K120" s="235">
        <v>0</v>
      </c>
      <c r="L120" s="235">
        <v>0</v>
      </c>
      <c r="M120" s="221"/>
      <c r="N120" s="235">
        <v>86760</v>
      </c>
      <c r="O120" s="235">
        <v>0</v>
      </c>
      <c r="P120" s="235">
        <v>0</v>
      </c>
      <c r="Q120" s="235">
        <v>152330</v>
      </c>
      <c r="R120" s="235">
        <v>0</v>
      </c>
      <c r="S120" s="235">
        <v>0</v>
      </c>
      <c r="T120" s="235">
        <v>154460</v>
      </c>
      <c r="U120" s="235">
        <v>0</v>
      </c>
      <c r="V120" s="235">
        <v>393550</v>
      </c>
      <c r="W120" s="234"/>
    </row>
    <row r="121" spans="1:23" ht="21" x14ac:dyDescent="0.35">
      <c r="A121" s="783"/>
      <c r="B121" s="222" t="s">
        <v>2</v>
      </c>
      <c r="C121" s="222" t="s">
        <v>65</v>
      </c>
      <c r="D121" s="235">
        <v>0</v>
      </c>
      <c r="E121" s="235">
        <v>0</v>
      </c>
      <c r="F121" s="235">
        <v>434050</v>
      </c>
      <c r="G121" s="235">
        <v>0</v>
      </c>
      <c r="H121" s="235">
        <v>0</v>
      </c>
      <c r="I121" s="235">
        <v>445090</v>
      </c>
      <c r="J121" s="235">
        <v>204620</v>
      </c>
      <c r="K121" s="235">
        <v>0</v>
      </c>
      <c r="L121" s="235">
        <v>1083760</v>
      </c>
      <c r="M121" s="221"/>
      <c r="N121" s="235">
        <v>0</v>
      </c>
      <c r="O121" s="235">
        <v>0</v>
      </c>
      <c r="P121" s="235">
        <v>0</v>
      </c>
      <c r="Q121" s="235">
        <v>0</v>
      </c>
      <c r="R121" s="235">
        <v>0</v>
      </c>
      <c r="S121" s="235">
        <v>318390</v>
      </c>
      <c r="T121" s="235">
        <v>429610</v>
      </c>
      <c r="U121" s="235">
        <v>0</v>
      </c>
      <c r="V121" s="235">
        <v>748000</v>
      </c>
      <c r="W121" s="234"/>
    </row>
    <row r="122" spans="1:23" ht="21" x14ac:dyDescent="0.35">
      <c r="A122" s="783"/>
      <c r="B122" s="222" t="s">
        <v>2</v>
      </c>
      <c r="C122" s="222" t="s">
        <v>74</v>
      </c>
      <c r="D122" s="235">
        <v>491940</v>
      </c>
      <c r="E122" s="235">
        <v>0</v>
      </c>
      <c r="F122" s="235">
        <v>372780</v>
      </c>
      <c r="G122" s="235">
        <v>0</v>
      </c>
      <c r="H122" s="235">
        <v>0</v>
      </c>
      <c r="I122" s="235">
        <v>0</v>
      </c>
      <c r="J122" s="235">
        <v>0</v>
      </c>
      <c r="K122" s="235">
        <v>0</v>
      </c>
      <c r="L122" s="235">
        <v>864720</v>
      </c>
      <c r="M122" s="221"/>
      <c r="N122" s="235">
        <v>0</v>
      </c>
      <c r="O122" s="235">
        <v>0</v>
      </c>
      <c r="P122" s="235">
        <v>762780</v>
      </c>
      <c r="Q122" s="235">
        <v>0</v>
      </c>
      <c r="R122" s="235">
        <v>0</v>
      </c>
      <c r="S122" s="235">
        <v>0</v>
      </c>
      <c r="T122" s="235">
        <v>432150</v>
      </c>
      <c r="U122" s="235">
        <v>0</v>
      </c>
      <c r="V122" s="235">
        <v>1194930</v>
      </c>
      <c r="W122" s="234"/>
    </row>
    <row r="123" spans="1:23" ht="21" x14ac:dyDescent="0.35">
      <c r="A123" s="783"/>
      <c r="B123" s="222" t="s">
        <v>2</v>
      </c>
      <c r="C123" s="222" t="s">
        <v>138</v>
      </c>
      <c r="D123" s="235">
        <v>0</v>
      </c>
      <c r="E123" s="235">
        <v>0</v>
      </c>
      <c r="F123" s="235">
        <v>0</v>
      </c>
      <c r="G123" s="235">
        <v>0</v>
      </c>
      <c r="H123" s="235">
        <v>0</v>
      </c>
      <c r="I123" s="235">
        <v>0</v>
      </c>
      <c r="J123" s="235">
        <v>0</v>
      </c>
      <c r="K123" s="235">
        <v>0</v>
      </c>
      <c r="L123" s="235">
        <v>0</v>
      </c>
      <c r="M123" s="221"/>
      <c r="N123" s="235">
        <v>0</v>
      </c>
      <c r="O123" s="235">
        <v>0</v>
      </c>
      <c r="P123" s="235">
        <v>0</v>
      </c>
      <c r="Q123" s="235">
        <v>0</v>
      </c>
      <c r="R123" s="235">
        <v>0</v>
      </c>
      <c r="S123" s="235">
        <v>126290</v>
      </c>
      <c r="T123" s="235">
        <v>0</v>
      </c>
      <c r="U123" s="235">
        <v>0</v>
      </c>
      <c r="V123" s="235">
        <v>126290</v>
      </c>
      <c r="W123" s="234"/>
    </row>
    <row r="124" spans="1:23" ht="21" x14ac:dyDescent="0.35">
      <c r="A124" s="783"/>
      <c r="B124" s="222" t="s">
        <v>2</v>
      </c>
      <c r="C124" s="222" t="s">
        <v>167</v>
      </c>
      <c r="D124" s="235">
        <v>0</v>
      </c>
      <c r="E124" s="235">
        <v>0</v>
      </c>
      <c r="F124" s="235">
        <v>0</v>
      </c>
      <c r="G124" s="235">
        <v>0</v>
      </c>
      <c r="H124" s="235">
        <v>0</v>
      </c>
      <c r="I124" s="235">
        <v>0</v>
      </c>
      <c r="J124" s="235">
        <v>0</v>
      </c>
      <c r="K124" s="235">
        <v>0</v>
      </c>
      <c r="L124" s="235">
        <v>0</v>
      </c>
      <c r="M124" s="221"/>
      <c r="N124" s="235">
        <v>0</v>
      </c>
      <c r="O124" s="235">
        <v>0</v>
      </c>
      <c r="P124" s="235">
        <v>0</v>
      </c>
      <c r="Q124" s="235">
        <v>0</v>
      </c>
      <c r="R124" s="235">
        <v>0</v>
      </c>
      <c r="S124" s="235">
        <v>0</v>
      </c>
      <c r="T124" s="235">
        <v>0</v>
      </c>
      <c r="U124" s="235">
        <v>0</v>
      </c>
      <c r="V124" s="235">
        <v>0</v>
      </c>
      <c r="W124" s="234"/>
    </row>
    <row r="125" spans="1:23" ht="21" x14ac:dyDescent="0.35">
      <c r="A125" s="784"/>
      <c r="B125" s="222" t="s">
        <v>2</v>
      </c>
      <c r="C125" s="222" t="s">
        <v>292</v>
      </c>
      <c r="D125" s="235">
        <v>0</v>
      </c>
      <c r="E125" s="235">
        <v>0</v>
      </c>
      <c r="F125" s="235">
        <v>0</v>
      </c>
      <c r="G125" s="235">
        <v>0</v>
      </c>
      <c r="H125" s="235">
        <v>0</v>
      </c>
      <c r="I125" s="235">
        <v>0</v>
      </c>
      <c r="J125" s="235">
        <v>0</v>
      </c>
      <c r="K125" s="235">
        <v>0</v>
      </c>
      <c r="L125" s="235">
        <v>0</v>
      </c>
      <c r="M125" s="221"/>
      <c r="N125" s="235">
        <v>0</v>
      </c>
      <c r="O125" s="235">
        <v>0</v>
      </c>
      <c r="P125" s="235">
        <v>0</v>
      </c>
      <c r="Q125" s="235">
        <v>0</v>
      </c>
      <c r="R125" s="235">
        <v>0</v>
      </c>
      <c r="S125" s="235">
        <v>0</v>
      </c>
      <c r="T125" s="235">
        <v>0</v>
      </c>
      <c r="U125" s="235">
        <v>0</v>
      </c>
      <c r="V125" s="235">
        <v>0</v>
      </c>
      <c r="W125" s="234"/>
    </row>
    <row r="126" spans="1:23" ht="21" x14ac:dyDescent="0.35">
      <c r="A126" s="231"/>
      <c r="B126" s="232"/>
      <c r="C126" s="232"/>
      <c r="D126" s="232">
        <f>SUM(D120:D125)</f>
        <v>491940</v>
      </c>
      <c r="E126" s="232">
        <f>SUM(E120:E125)</f>
        <v>0</v>
      </c>
      <c r="F126" s="232">
        <f>SUM(F120:F125)</f>
        <v>806830</v>
      </c>
      <c r="G126" s="232">
        <f t="shared" ref="G126:I126" si="44">SUM(G120:G125)</f>
        <v>0</v>
      </c>
      <c r="H126" s="232">
        <f t="shared" si="44"/>
        <v>0</v>
      </c>
      <c r="I126" s="232">
        <f t="shared" si="44"/>
        <v>445090</v>
      </c>
      <c r="J126" s="232">
        <f>SUM(J120:J125)</f>
        <v>204620</v>
      </c>
      <c r="K126" s="232">
        <f>SUM(K120:K125)</f>
        <v>0</v>
      </c>
      <c r="L126" s="232">
        <f>SUM(L120:L125)</f>
        <v>1948480</v>
      </c>
      <c r="M126" s="233"/>
      <c r="N126" s="232">
        <f t="shared" ref="N126:T126" si="45">SUM(N120:N125)</f>
        <v>86760</v>
      </c>
      <c r="O126" s="232">
        <f t="shared" si="45"/>
        <v>0</v>
      </c>
      <c r="P126" s="232">
        <f t="shared" si="45"/>
        <v>762780</v>
      </c>
      <c r="Q126" s="232">
        <f t="shared" si="45"/>
        <v>152330</v>
      </c>
      <c r="R126" s="232">
        <f t="shared" si="45"/>
        <v>0</v>
      </c>
      <c r="S126" s="232">
        <f t="shared" si="45"/>
        <v>444680</v>
      </c>
      <c r="T126" s="232">
        <f t="shared" si="45"/>
        <v>1016220</v>
      </c>
      <c r="U126" s="232">
        <f>SUM(U120:U125)</f>
        <v>0</v>
      </c>
      <c r="V126" s="232">
        <f>SUM(V120:V125)</f>
        <v>2462770</v>
      </c>
      <c r="W126" s="234"/>
    </row>
    <row r="127" spans="1:23" ht="21" x14ac:dyDescent="0.35">
      <c r="A127" s="217" t="s">
        <v>69</v>
      </c>
      <c r="B127" s="218" t="s">
        <v>77</v>
      </c>
      <c r="C127" s="218" t="s">
        <v>76</v>
      </c>
      <c r="D127" s="219" t="s">
        <v>71</v>
      </c>
      <c r="E127" s="219" t="s">
        <v>72</v>
      </c>
      <c r="F127" s="219" t="s">
        <v>73</v>
      </c>
      <c r="G127" s="220" t="s">
        <v>188</v>
      </c>
      <c r="H127" s="220" t="s">
        <v>189</v>
      </c>
      <c r="I127" s="220" t="s">
        <v>190</v>
      </c>
      <c r="J127" s="281" t="s">
        <v>539</v>
      </c>
      <c r="K127" s="281" t="s">
        <v>540</v>
      </c>
      <c r="L127" s="218" t="s">
        <v>75</v>
      </c>
      <c r="M127" s="221"/>
      <c r="N127" s="219" t="s">
        <v>71</v>
      </c>
      <c r="O127" s="219" t="s">
        <v>72</v>
      </c>
      <c r="P127" s="219" t="s">
        <v>73</v>
      </c>
      <c r="Q127" s="220" t="s">
        <v>188</v>
      </c>
      <c r="R127" s="220" t="s">
        <v>189</v>
      </c>
      <c r="S127" s="220" t="s">
        <v>190</v>
      </c>
      <c r="T127" s="281" t="s">
        <v>539</v>
      </c>
      <c r="U127" s="281" t="s">
        <v>540</v>
      </c>
      <c r="V127" s="218" t="s">
        <v>75</v>
      </c>
      <c r="W127" s="234"/>
    </row>
    <row r="128" spans="1:23" ht="21" customHeight="1" x14ac:dyDescent="0.35">
      <c r="A128" s="782" t="s">
        <v>1120</v>
      </c>
      <c r="B128" s="222" t="s">
        <v>2</v>
      </c>
      <c r="C128" s="222" t="s">
        <v>67</v>
      </c>
      <c r="D128" s="235">
        <f>D142+D149+D156+D163+D170+D177+D184+D191+D198+D205+D212+D219+D226+D233+D240+D247+D254+D261+D268+D275+D282+D289+D296+D303+D310+D317+D324+D331+D338+D345+D352</f>
        <v>0</v>
      </c>
      <c r="E128" s="235">
        <f t="shared" ref="E128:V128" si="46">E142+E149+E156+E163+E170+E177+E184+E191+E198+E205+E212+E219+E226+E233+E240+E247+E254+E261+E268+E275+E282+E289+E296+E303+E310+E317+E324+E331+E338+E345+E352</f>
        <v>0</v>
      </c>
      <c r="F128" s="235">
        <f t="shared" si="46"/>
        <v>0</v>
      </c>
      <c r="G128" s="235">
        <f t="shared" si="46"/>
        <v>0</v>
      </c>
      <c r="H128" s="235">
        <f t="shared" si="46"/>
        <v>0</v>
      </c>
      <c r="I128" s="235">
        <f t="shared" si="46"/>
        <v>0</v>
      </c>
      <c r="J128" s="235">
        <f t="shared" si="46"/>
        <v>0</v>
      </c>
      <c r="K128" s="235">
        <f t="shared" si="46"/>
        <v>0</v>
      </c>
      <c r="L128" s="235">
        <f t="shared" si="46"/>
        <v>0</v>
      </c>
      <c r="M128" s="221"/>
      <c r="N128" s="235">
        <f t="shared" si="46"/>
        <v>260850</v>
      </c>
      <c r="O128" s="235">
        <f t="shared" si="46"/>
        <v>142000</v>
      </c>
      <c r="P128" s="235">
        <f t="shared" si="46"/>
        <v>0</v>
      </c>
      <c r="Q128" s="235">
        <f t="shared" si="46"/>
        <v>0</v>
      </c>
      <c r="R128" s="235">
        <f t="shared" si="46"/>
        <v>0</v>
      </c>
      <c r="S128" s="235">
        <f t="shared" si="46"/>
        <v>0</v>
      </c>
      <c r="T128" s="235">
        <f t="shared" si="46"/>
        <v>0</v>
      </c>
      <c r="U128" s="235">
        <f t="shared" si="46"/>
        <v>0</v>
      </c>
      <c r="V128" s="235">
        <f t="shared" si="46"/>
        <v>402850</v>
      </c>
      <c r="W128" s="234"/>
    </row>
    <row r="129" spans="1:23" ht="21" x14ac:dyDescent="0.35">
      <c r="A129" s="783"/>
      <c r="B129" s="222" t="s">
        <v>2</v>
      </c>
      <c r="C129" s="222" t="s">
        <v>65</v>
      </c>
      <c r="D129" s="235">
        <f t="shared" ref="D129:L129" si="47">D143+D150+D157+D164+D171+D178+D185+D192+D199+D206+D213+D220+D227+D234+D241+D248+D255+D262+D269+D276+D283+D290+D297+D304+D311+D318+D325+D332+D339+D346+D353</f>
        <v>0</v>
      </c>
      <c r="E129" s="235">
        <f t="shared" si="47"/>
        <v>0</v>
      </c>
      <c r="F129" s="235">
        <f t="shared" si="47"/>
        <v>727770</v>
      </c>
      <c r="G129" s="235">
        <f t="shared" si="47"/>
        <v>0</v>
      </c>
      <c r="H129" s="235">
        <f t="shared" si="47"/>
        <v>0</v>
      </c>
      <c r="I129" s="235">
        <f t="shared" si="47"/>
        <v>582840</v>
      </c>
      <c r="J129" s="235">
        <f t="shared" si="47"/>
        <v>524660</v>
      </c>
      <c r="K129" s="235">
        <f t="shared" si="47"/>
        <v>0</v>
      </c>
      <c r="L129" s="235">
        <f t="shared" si="47"/>
        <v>1835270</v>
      </c>
      <c r="M129" s="221"/>
      <c r="N129" s="235">
        <f t="shared" ref="N129:V129" si="48">N143+N150+N157+N164+N171+N178+N185+N192+N199+N206+N213+N220+N227+N234+N241+N248+N255+N262+N269+N276+N283+N290+N297+N304+N311+N318+N325+N332+N339+N346+N353</f>
        <v>0</v>
      </c>
      <c r="O129" s="235">
        <f t="shared" si="48"/>
        <v>0</v>
      </c>
      <c r="P129" s="235">
        <f t="shared" si="48"/>
        <v>0</v>
      </c>
      <c r="Q129" s="235">
        <f t="shared" si="48"/>
        <v>0</v>
      </c>
      <c r="R129" s="235">
        <f t="shared" si="48"/>
        <v>0</v>
      </c>
      <c r="S129" s="235">
        <f t="shared" si="48"/>
        <v>0</v>
      </c>
      <c r="T129" s="235">
        <f t="shared" si="48"/>
        <v>149680</v>
      </c>
      <c r="U129" s="235">
        <f t="shared" si="48"/>
        <v>0</v>
      </c>
      <c r="V129" s="235">
        <f t="shared" si="48"/>
        <v>149680</v>
      </c>
      <c r="W129" s="234"/>
    </row>
    <row r="130" spans="1:23" ht="21" x14ac:dyDescent="0.35">
      <c r="A130" s="783"/>
      <c r="B130" s="222" t="s">
        <v>2</v>
      </c>
      <c r="C130" s="222" t="s">
        <v>74</v>
      </c>
      <c r="D130" s="235">
        <f t="shared" ref="D130:L130" si="49">D144+D151+D158+D165+D172+D179+D186+D193+D200+D207+D214+D221+D228+D235+D242+D249+D256+D263+D270+D277+D284+D291+D298+D305+D312+D319+D326+D333+D340+D347+D354</f>
        <v>0</v>
      </c>
      <c r="E130" s="235">
        <f t="shared" si="49"/>
        <v>0</v>
      </c>
      <c r="F130" s="235">
        <f t="shared" si="49"/>
        <v>0</v>
      </c>
      <c r="G130" s="235">
        <f t="shared" si="49"/>
        <v>0</v>
      </c>
      <c r="H130" s="235">
        <f t="shared" si="49"/>
        <v>0</v>
      </c>
      <c r="I130" s="235">
        <f t="shared" si="49"/>
        <v>0</v>
      </c>
      <c r="J130" s="235">
        <f t="shared" si="49"/>
        <v>222420</v>
      </c>
      <c r="K130" s="235">
        <f t="shared" si="49"/>
        <v>0</v>
      </c>
      <c r="L130" s="235">
        <f t="shared" si="49"/>
        <v>222420</v>
      </c>
      <c r="M130" s="221"/>
      <c r="N130" s="235">
        <f t="shared" ref="N130:V130" si="50">N144+N151+N158+N165+N172+N179+N186+N193+N200+N207+N214+N221+N228+N235+N242+N249+N256+N263+N270+N277+N284+N291+N298+N305+N312+N319+N326+N333+N340+N347+N354</f>
        <v>0</v>
      </c>
      <c r="O130" s="235">
        <f t="shared" si="50"/>
        <v>0</v>
      </c>
      <c r="P130" s="235">
        <f t="shared" si="50"/>
        <v>0</v>
      </c>
      <c r="Q130" s="235">
        <f t="shared" si="50"/>
        <v>0</v>
      </c>
      <c r="R130" s="235">
        <f t="shared" si="50"/>
        <v>0</v>
      </c>
      <c r="S130" s="235">
        <f t="shared" si="50"/>
        <v>0</v>
      </c>
      <c r="T130" s="235">
        <f t="shared" si="50"/>
        <v>0</v>
      </c>
      <c r="U130" s="235">
        <f t="shared" si="50"/>
        <v>0</v>
      </c>
      <c r="V130" s="235">
        <f t="shared" si="50"/>
        <v>0</v>
      </c>
      <c r="W130" s="234"/>
    </row>
    <row r="131" spans="1:23" ht="21" x14ac:dyDescent="0.35">
      <c r="A131" s="783"/>
      <c r="B131" s="222" t="s">
        <v>2</v>
      </c>
      <c r="C131" s="222" t="s">
        <v>138</v>
      </c>
      <c r="D131" s="235">
        <f t="shared" ref="D131:L131" si="51">D145+D152+D159+D166+D173+D180+D187+D194+D201+D208+D215+D222+D229+D236+D243+D250+D257+D264+D271+D278+D285+D292+D299+D306+D313+D320+D327+D334+D341+D348+D355</f>
        <v>0</v>
      </c>
      <c r="E131" s="235">
        <f t="shared" si="51"/>
        <v>0</v>
      </c>
      <c r="F131" s="235">
        <f t="shared" si="51"/>
        <v>0</v>
      </c>
      <c r="G131" s="235">
        <f t="shared" si="51"/>
        <v>0</v>
      </c>
      <c r="H131" s="235">
        <f t="shared" si="51"/>
        <v>0</v>
      </c>
      <c r="I131" s="235">
        <f t="shared" si="51"/>
        <v>0</v>
      </c>
      <c r="J131" s="235">
        <f t="shared" si="51"/>
        <v>0</v>
      </c>
      <c r="K131" s="235">
        <f t="shared" si="51"/>
        <v>0</v>
      </c>
      <c r="L131" s="235">
        <f t="shared" si="51"/>
        <v>0</v>
      </c>
      <c r="M131" s="221"/>
      <c r="N131" s="235">
        <f t="shared" ref="N131:V131" si="52">N145+N152+N159+N166+N173+N180+N187+N194+N201+N208+N215+N222+N229+N236+N243+N250+N257+N264+N271+N278+N285+N292+N299+N306+N313+N320+N327+N334+N341+N348+N355</f>
        <v>0</v>
      </c>
      <c r="O131" s="235">
        <f t="shared" si="52"/>
        <v>0</v>
      </c>
      <c r="P131" s="235">
        <f t="shared" si="52"/>
        <v>0</v>
      </c>
      <c r="Q131" s="235">
        <f t="shared" si="52"/>
        <v>0</v>
      </c>
      <c r="R131" s="235">
        <f t="shared" si="52"/>
        <v>0</v>
      </c>
      <c r="S131" s="235">
        <f t="shared" si="52"/>
        <v>0</v>
      </c>
      <c r="T131" s="235">
        <f t="shared" si="52"/>
        <v>0</v>
      </c>
      <c r="U131" s="235">
        <f t="shared" si="52"/>
        <v>0</v>
      </c>
      <c r="V131" s="235">
        <f t="shared" si="52"/>
        <v>0</v>
      </c>
      <c r="W131" s="234"/>
    </row>
    <row r="132" spans="1:23" ht="21" x14ac:dyDescent="0.35">
      <c r="A132" s="783"/>
      <c r="B132" s="222" t="s">
        <v>2</v>
      </c>
      <c r="C132" s="222" t="s">
        <v>167</v>
      </c>
      <c r="D132" s="235">
        <f t="shared" ref="D132:L132" si="53">D146+D153+D160+D167+D174+D181+D188+D195+D202+D209+D216+D223+D230+D237+D244+D251+D258+D265+D272+D279+D286+D293+D300+D307+D314+D321+D328+D335+D342+D349+D356</f>
        <v>0</v>
      </c>
      <c r="E132" s="235">
        <f t="shared" si="53"/>
        <v>0</v>
      </c>
      <c r="F132" s="235">
        <f t="shared" si="53"/>
        <v>0</v>
      </c>
      <c r="G132" s="235">
        <f t="shared" si="53"/>
        <v>0</v>
      </c>
      <c r="H132" s="235">
        <f t="shared" si="53"/>
        <v>0</v>
      </c>
      <c r="I132" s="235">
        <f t="shared" si="53"/>
        <v>0</v>
      </c>
      <c r="J132" s="235">
        <f t="shared" si="53"/>
        <v>0</v>
      </c>
      <c r="K132" s="235">
        <f t="shared" si="53"/>
        <v>0</v>
      </c>
      <c r="L132" s="235">
        <f t="shared" si="53"/>
        <v>0</v>
      </c>
      <c r="M132" s="221"/>
      <c r="N132" s="235">
        <f t="shared" ref="N132:V132" si="54">N146+N153+N160+N167+N174+N181+N188+N195+N202+N209+N216+N223+N230+N237+N244+N251+N258+N265+N272+N279+N286+N293+N300+N307+N314+N321+N328+N335+N342+N349+N356</f>
        <v>0</v>
      </c>
      <c r="O132" s="235">
        <f t="shared" si="54"/>
        <v>0</v>
      </c>
      <c r="P132" s="235">
        <f t="shared" si="54"/>
        <v>0</v>
      </c>
      <c r="Q132" s="235">
        <f t="shared" si="54"/>
        <v>0</v>
      </c>
      <c r="R132" s="235">
        <f t="shared" si="54"/>
        <v>0</v>
      </c>
      <c r="S132" s="235">
        <f t="shared" si="54"/>
        <v>0</v>
      </c>
      <c r="T132" s="235">
        <f t="shared" si="54"/>
        <v>0</v>
      </c>
      <c r="U132" s="235">
        <f t="shared" si="54"/>
        <v>0</v>
      </c>
      <c r="V132" s="235">
        <f t="shared" si="54"/>
        <v>0</v>
      </c>
      <c r="W132" s="234"/>
    </row>
    <row r="133" spans="1:23" ht="21" x14ac:dyDescent="0.35">
      <c r="A133" s="784"/>
      <c r="B133" s="222" t="s">
        <v>2</v>
      </c>
      <c r="C133" s="222" t="s">
        <v>292</v>
      </c>
      <c r="D133" s="235">
        <f t="shared" ref="D133:L133" si="55">D147+D154+D161+D168+D175+D182+D189+D196+D203+D210+D217+D224+D231+D238+D245+D252+D259+D266+D273+D280+D287+D294+D301+D308+D315+D322+D329+D336+D343+D350+D357</f>
        <v>0</v>
      </c>
      <c r="E133" s="235">
        <f t="shared" si="55"/>
        <v>0</v>
      </c>
      <c r="F133" s="235">
        <f t="shared" si="55"/>
        <v>0</v>
      </c>
      <c r="G133" s="235">
        <f t="shared" si="55"/>
        <v>0</v>
      </c>
      <c r="H133" s="235">
        <f t="shared" si="55"/>
        <v>0</v>
      </c>
      <c r="I133" s="235">
        <f t="shared" si="55"/>
        <v>0</v>
      </c>
      <c r="J133" s="235">
        <f t="shared" si="55"/>
        <v>0</v>
      </c>
      <c r="K133" s="235">
        <f t="shared" si="55"/>
        <v>0</v>
      </c>
      <c r="L133" s="235">
        <f t="shared" si="55"/>
        <v>0</v>
      </c>
      <c r="M133" s="221"/>
      <c r="N133" s="235">
        <f t="shared" ref="N133:V133" si="56">N147+N154+N161+N168+N175+N182+N189+N196+N203+N210+N217+N224+N231+N238+N245+N252+N259+N266+N273+N280+N287+N294+N301+N308+N315+N322+N329+N336+N343+N350+N357</f>
        <v>0</v>
      </c>
      <c r="O133" s="235">
        <f t="shared" si="56"/>
        <v>0</v>
      </c>
      <c r="P133" s="235">
        <f t="shared" si="56"/>
        <v>0</v>
      </c>
      <c r="Q133" s="235">
        <f t="shared" si="56"/>
        <v>0</v>
      </c>
      <c r="R133" s="235">
        <f t="shared" si="56"/>
        <v>0</v>
      </c>
      <c r="S133" s="235">
        <f t="shared" si="56"/>
        <v>0</v>
      </c>
      <c r="T133" s="235">
        <f t="shared" si="56"/>
        <v>0</v>
      </c>
      <c r="U133" s="235">
        <f t="shared" si="56"/>
        <v>0</v>
      </c>
      <c r="V133" s="235">
        <f t="shared" si="56"/>
        <v>0</v>
      </c>
      <c r="W133" s="234"/>
    </row>
    <row r="134" spans="1:23" ht="21" x14ac:dyDescent="0.35">
      <c r="A134" s="231"/>
      <c r="B134" s="232"/>
      <c r="C134" s="232"/>
      <c r="D134" s="232">
        <f>SUM(D128:D133)</f>
        <v>0</v>
      </c>
      <c r="E134" s="232">
        <f>SUM(E128:E133)</f>
        <v>0</v>
      </c>
      <c r="F134" s="232">
        <f>SUM(F128:F133)</f>
        <v>727770</v>
      </c>
      <c r="G134" s="232">
        <f t="shared" ref="G134:I134" si="57">SUM(G128:G133)</f>
        <v>0</v>
      </c>
      <c r="H134" s="232">
        <f t="shared" si="57"/>
        <v>0</v>
      </c>
      <c r="I134" s="232">
        <f t="shared" si="57"/>
        <v>582840</v>
      </c>
      <c r="J134" s="232">
        <f>SUM(J128:J133)</f>
        <v>747080</v>
      </c>
      <c r="K134" s="232">
        <f>SUM(K128:K133)</f>
        <v>0</v>
      </c>
      <c r="L134" s="232">
        <f>SUM(L128:L133)</f>
        <v>2057690</v>
      </c>
      <c r="M134" s="233"/>
      <c r="N134" s="232">
        <f t="shared" ref="N134:T134" si="58">SUM(N128:N133)</f>
        <v>260850</v>
      </c>
      <c r="O134" s="232">
        <f t="shared" si="58"/>
        <v>142000</v>
      </c>
      <c r="P134" s="232">
        <f t="shared" si="58"/>
        <v>0</v>
      </c>
      <c r="Q134" s="232">
        <f t="shared" si="58"/>
        <v>0</v>
      </c>
      <c r="R134" s="232">
        <f t="shared" si="58"/>
        <v>0</v>
      </c>
      <c r="S134" s="232">
        <f t="shared" si="58"/>
        <v>0</v>
      </c>
      <c r="T134" s="232">
        <f t="shared" si="58"/>
        <v>149680</v>
      </c>
      <c r="U134" s="232">
        <f>SUM(U128:U133)</f>
        <v>0</v>
      </c>
      <c r="V134" s="232">
        <f>SUM(V128:V133)</f>
        <v>552530</v>
      </c>
      <c r="W134" s="234"/>
    </row>
    <row r="135" spans="1:23" ht="21" customHeight="1" x14ac:dyDescent="0.35">
      <c r="A135" s="789" t="s">
        <v>129</v>
      </c>
      <c r="B135" s="789"/>
      <c r="C135" s="789"/>
      <c r="D135" s="236">
        <f>'BILL ĐÃ XUẤT XONG'!M34</f>
        <v>178210</v>
      </c>
      <c r="E135" s="236">
        <f>'BILL ĐÃ XUẤT XONG'!M67</f>
        <v>286930</v>
      </c>
      <c r="F135" s="236">
        <f>'BILL ĐÃ XUẤT XONG'!M97</f>
        <v>189070</v>
      </c>
      <c r="G135" s="236">
        <f>'BILL ĐÃ XUẤT XONG'!M112</f>
        <v>97460</v>
      </c>
      <c r="H135" s="236">
        <f>'BILL ĐÃ XUẤT XONG'!M133</f>
        <v>119970</v>
      </c>
      <c r="I135" s="236">
        <f>'BILL ĐÃ XUẤT XONG'!M151</f>
        <v>94570</v>
      </c>
      <c r="J135" s="236">
        <f>+'BILL ĐÃ XUẤT XONG'!M174</f>
        <v>52880</v>
      </c>
      <c r="K135" s="236">
        <f>+'BILL ĐÃ XUẤT XONG'!M202</f>
        <v>66250</v>
      </c>
      <c r="L135" s="236">
        <f>SUM(D135:K135)</f>
        <v>1085340</v>
      </c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15"/>
    </row>
    <row r="136" spans="1:23" ht="21" x14ac:dyDescent="0.35">
      <c r="A136" s="790" t="s">
        <v>191</v>
      </c>
      <c r="B136" s="790"/>
      <c r="C136" s="790"/>
      <c r="D136" s="237">
        <f>(D4+D6+D14+D22+D30+D38+D46+D54+D62+D70+D78+D86+D94+D102+D110+D118+D126+D134)-(N4+N6+N14+N22+N30+N38+N46+N54+N62+N70+N78+N86+N94+N102+N110+N118+N126+N134)-D135</f>
        <v>6693580</v>
      </c>
      <c r="E136" s="237">
        <f t="shared" ref="E136:K136" si="59">(E4+E6+E14+E22+E30+E38+E46+E54+E62+E70+E78+E86+E94+E102+E110+E118+E126+E134)-(O4+O6+O14+O22+O30+O38+O46+O54+O62+O70+O78+O86+O94+O102+O110+O118+O126+O134)-E135</f>
        <v>8712730</v>
      </c>
      <c r="F136" s="237">
        <f t="shared" si="59"/>
        <v>6378700</v>
      </c>
      <c r="G136" s="237">
        <f t="shared" si="59"/>
        <v>6558910</v>
      </c>
      <c r="H136" s="237">
        <f t="shared" si="59"/>
        <v>9742470</v>
      </c>
      <c r="I136" s="237">
        <f t="shared" si="59"/>
        <v>7645220</v>
      </c>
      <c r="J136" s="237">
        <f t="shared" si="59"/>
        <v>7251250</v>
      </c>
      <c r="K136" s="237">
        <f t="shared" si="59"/>
        <v>0</v>
      </c>
      <c r="L136" s="237">
        <f>SUM(D136:K136)</f>
        <v>52982860</v>
      </c>
      <c r="M136" s="238"/>
      <c r="N136" s="239"/>
      <c r="O136" s="238"/>
      <c r="P136" s="238"/>
      <c r="Q136" s="238"/>
      <c r="R136" s="238"/>
      <c r="S136" s="238"/>
      <c r="T136" s="238"/>
      <c r="U136" s="238"/>
      <c r="V136" s="238"/>
      <c r="W136" s="215"/>
    </row>
    <row r="137" spans="1:23" ht="21" x14ac:dyDescent="0.35">
      <c r="A137" s="791" t="s">
        <v>244</v>
      </c>
      <c r="B137" s="791"/>
      <c r="C137" s="791"/>
      <c r="D137" s="240">
        <f>D136+D135</f>
        <v>6871790</v>
      </c>
      <c r="E137" s="240">
        <f>E136+E135</f>
        <v>8999660</v>
      </c>
      <c r="F137" s="240">
        <f t="shared" ref="F137:L137" si="60">F136+F135</f>
        <v>6567770</v>
      </c>
      <c r="G137" s="240">
        <f t="shared" si="60"/>
        <v>6656370</v>
      </c>
      <c r="H137" s="240">
        <f t="shared" si="60"/>
        <v>9862440</v>
      </c>
      <c r="I137" s="240">
        <f>I136+I135</f>
        <v>7739790</v>
      </c>
      <c r="J137" s="240">
        <f>J136+J135</f>
        <v>7304130</v>
      </c>
      <c r="K137" s="240">
        <f>K136+K135</f>
        <v>66250</v>
      </c>
      <c r="L137" s="240">
        <f t="shared" si="60"/>
        <v>54068200</v>
      </c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15"/>
    </row>
    <row r="138" spans="1:23" ht="21" x14ac:dyDescent="0.35">
      <c r="A138" s="792" t="s">
        <v>1118</v>
      </c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2"/>
      <c r="P138" s="792"/>
      <c r="Q138" s="792"/>
      <c r="R138" s="792"/>
      <c r="S138" s="792"/>
      <c r="T138" s="792"/>
      <c r="U138" s="792"/>
      <c r="V138" s="792"/>
      <c r="W138" s="215"/>
    </row>
    <row r="139" spans="1:23" ht="21" x14ac:dyDescent="0.35">
      <c r="A139" s="793" t="s">
        <v>70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5"/>
      <c r="M139" s="216"/>
      <c r="N139" s="796" t="s">
        <v>49</v>
      </c>
      <c r="O139" s="797"/>
      <c r="P139" s="797"/>
      <c r="Q139" s="797"/>
      <c r="R139" s="797"/>
      <c r="S139" s="797"/>
      <c r="T139" s="797"/>
      <c r="U139" s="797"/>
      <c r="V139" s="798"/>
      <c r="W139" s="215"/>
    </row>
    <row r="140" spans="1:23" ht="21" x14ac:dyDescent="0.35">
      <c r="A140" s="781" t="s">
        <v>1117</v>
      </c>
      <c r="B140" s="781"/>
      <c r="C140" s="781"/>
      <c r="D140" s="682">
        <f t="shared" ref="D140:K140" si="61">D359</f>
        <v>0</v>
      </c>
      <c r="E140" s="682">
        <f>E359</f>
        <v>0</v>
      </c>
      <c r="F140" s="682">
        <f t="shared" si="61"/>
        <v>727770</v>
      </c>
      <c r="G140" s="682">
        <f t="shared" si="61"/>
        <v>0</v>
      </c>
      <c r="H140" s="682">
        <f t="shared" si="61"/>
        <v>0</v>
      </c>
      <c r="I140" s="682">
        <f>I359</f>
        <v>582840</v>
      </c>
      <c r="J140" s="682">
        <f t="shared" si="61"/>
        <v>747080</v>
      </c>
      <c r="K140" s="682">
        <f t="shared" si="61"/>
        <v>0</v>
      </c>
      <c r="L140" s="241">
        <f>SUM(D140:K140)</f>
        <v>2057690</v>
      </c>
      <c r="M140" s="221"/>
      <c r="N140" s="682">
        <f t="shared" ref="N140:U140" si="62">N359</f>
        <v>260850</v>
      </c>
      <c r="O140" s="682">
        <f t="shared" si="62"/>
        <v>142000</v>
      </c>
      <c r="P140" s="682">
        <f>P359</f>
        <v>0</v>
      </c>
      <c r="Q140" s="682">
        <f t="shared" si="62"/>
        <v>0</v>
      </c>
      <c r="R140" s="682">
        <f>R359</f>
        <v>0</v>
      </c>
      <c r="S140" s="682">
        <f t="shared" si="62"/>
        <v>0</v>
      </c>
      <c r="T140" s="682">
        <f t="shared" si="62"/>
        <v>149680</v>
      </c>
      <c r="U140" s="682">
        <f t="shared" si="62"/>
        <v>0</v>
      </c>
      <c r="V140" s="241">
        <f>SUM(N140:U140)</f>
        <v>552530</v>
      </c>
      <c r="W140" s="215" t="s">
        <v>250</v>
      </c>
    </row>
    <row r="141" spans="1:23" ht="21" x14ac:dyDescent="0.35">
      <c r="A141" s="217" t="s">
        <v>69</v>
      </c>
      <c r="B141" s="242" t="s">
        <v>77</v>
      </c>
      <c r="C141" s="218" t="s">
        <v>76</v>
      </c>
      <c r="D141" s="219" t="s">
        <v>71</v>
      </c>
      <c r="E141" s="219" t="s">
        <v>72</v>
      </c>
      <c r="F141" s="219" t="s">
        <v>73</v>
      </c>
      <c r="G141" s="220" t="s">
        <v>188</v>
      </c>
      <c r="H141" s="220" t="s">
        <v>189</v>
      </c>
      <c r="I141" s="220" t="s">
        <v>190</v>
      </c>
      <c r="J141" s="281" t="s">
        <v>539</v>
      </c>
      <c r="K141" s="281" t="s">
        <v>540</v>
      </c>
      <c r="L141" s="218" t="s">
        <v>78</v>
      </c>
      <c r="M141" s="221"/>
      <c r="N141" s="219" t="s">
        <v>71</v>
      </c>
      <c r="O141" s="219" t="s">
        <v>72</v>
      </c>
      <c r="P141" s="219" t="s">
        <v>73</v>
      </c>
      <c r="Q141" s="220" t="s">
        <v>188</v>
      </c>
      <c r="R141" s="220" t="s">
        <v>189</v>
      </c>
      <c r="S141" s="220" t="s">
        <v>190</v>
      </c>
      <c r="T141" s="281" t="s">
        <v>539</v>
      </c>
      <c r="U141" s="281" t="s">
        <v>540</v>
      </c>
      <c r="V141" s="218" t="s">
        <v>78</v>
      </c>
      <c r="W141" s="215"/>
    </row>
    <row r="142" spans="1:23" ht="21" x14ac:dyDescent="0.35">
      <c r="A142" s="772">
        <v>44830</v>
      </c>
      <c r="B142" s="222" t="s">
        <v>2</v>
      </c>
      <c r="C142" s="222" t="s">
        <v>67</v>
      </c>
      <c r="D142" s="222"/>
      <c r="E142" s="229"/>
      <c r="F142" s="222"/>
      <c r="G142" s="222"/>
      <c r="H142" s="222"/>
      <c r="I142" s="222"/>
      <c r="J142" s="222"/>
      <c r="K142" s="222"/>
      <c r="L142" s="222">
        <f>SUM(D142:K142)</f>
        <v>0</v>
      </c>
      <c r="M142" s="224"/>
      <c r="N142" s="222"/>
      <c r="O142" s="229"/>
      <c r="P142" s="222"/>
      <c r="Q142" s="222"/>
      <c r="R142" s="222"/>
      <c r="S142" s="222"/>
      <c r="T142" s="222"/>
      <c r="U142" s="222"/>
      <c r="V142" s="222">
        <f>SUM(N142:U142)</f>
        <v>0</v>
      </c>
      <c r="W142" s="215"/>
    </row>
    <row r="143" spans="1:23" ht="21" x14ac:dyDescent="0.35">
      <c r="A143" s="773"/>
      <c r="B143" s="222" t="s">
        <v>2</v>
      </c>
      <c r="C143" s="222" t="s">
        <v>65</v>
      </c>
      <c r="D143" s="222"/>
      <c r="E143" s="222"/>
      <c r="F143" s="222"/>
      <c r="G143" s="222"/>
      <c r="H143" s="222"/>
      <c r="I143" s="222"/>
      <c r="J143" s="222"/>
      <c r="K143" s="222"/>
      <c r="L143" s="222">
        <f>SUM(D143:K143)</f>
        <v>0</v>
      </c>
      <c r="M143" s="224"/>
      <c r="N143" s="222"/>
      <c r="O143" s="229"/>
      <c r="P143" s="222"/>
      <c r="Q143" s="222"/>
      <c r="R143" s="222"/>
      <c r="S143" s="222"/>
      <c r="T143" s="222"/>
      <c r="U143" s="222"/>
      <c r="V143" s="222">
        <f t="shared" ref="V143:V206" si="63">SUM(N143:U143)</f>
        <v>0</v>
      </c>
      <c r="W143" s="215"/>
    </row>
    <row r="144" spans="1:23" ht="21" x14ac:dyDescent="0.35">
      <c r="A144" s="773"/>
      <c r="B144" s="222" t="s">
        <v>2</v>
      </c>
      <c r="C144" s="222" t="s">
        <v>74</v>
      </c>
      <c r="D144" s="222"/>
      <c r="E144" s="229"/>
      <c r="F144" s="222"/>
      <c r="G144" s="222"/>
      <c r="H144" s="222"/>
      <c r="I144" s="229"/>
      <c r="J144" s="229"/>
      <c r="K144" s="229"/>
      <c r="L144" s="222">
        <f t="shared" ref="L144:L206" si="64">SUM(D144:K144)</f>
        <v>0</v>
      </c>
      <c r="M144" s="224"/>
      <c r="N144" s="222"/>
      <c r="O144" s="229"/>
      <c r="P144" s="222"/>
      <c r="Q144" s="222"/>
      <c r="R144" s="222"/>
      <c r="S144" s="222"/>
      <c r="T144" s="222"/>
      <c r="U144" s="222"/>
      <c r="V144" s="222">
        <f t="shared" si="63"/>
        <v>0</v>
      </c>
      <c r="W144" s="215"/>
    </row>
    <row r="145" spans="1:23" ht="21" x14ac:dyDescent="0.35">
      <c r="A145" s="773"/>
      <c r="B145" s="222" t="s">
        <v>2</v>
      </c>
      <c r="C145" s="222" t="s">
        <v>138</v>
      </c>
      <c r="D145" s="222"/>
      <c r="E145" s="222"/>
      <c r="F145" s="222"/>
      <c r="G145" s="222"/>
      <c r="H145" s="222"/>
      <c r="I145" s="222"/>
      <c r="J145" s="222"/>
      <c r="K145" s="222"/>
      <c r="L145" s="222">
        <f t="shared" si="64"/>
        <v>0</v>
      </c>
      <c r="M145" s="224"/>
      <c r="N145" s="222"/>
      <c r="O145" s="229"/>
      <c r="P145" s="222"/>
      <c r="Q145" s="222"/>
      <c r="R145" s="222"/>
      <c r="S145" s="222"/>
      <c r="T145" s="222"/>
      <c r="U145" s="222"/>
      <c r="V145" s="222">
        <f t="shared" si="63"/>
        <v>0</v>
      </c>
      <c r="W145" s="215"/>
    </row>
    <row r="146" spans="1:23" ht="21" x14ac:dyDescent="0.35">
      <c r="A146" s="773"/>
      <c r="B146" s="222" t="s">
        <v>2</v>
      </c>
      <c r="C146" s="222" t="s">
        <v>167</v>
      </c>
      <c r="D146" s="222"/>
      <c r="E146" s="222"/>
      <c r="F146" s="222"/>
      <c r="G146" s="222"/>
      <c r="H146" s="222"/>
      <c r="I146" s="222"/>
      <c r="J146" s="222"/>
      <c r="K146" s="222"/>
      <c r="L146" s="222">
        <f t="shared" si="64"/>
        <v>0</v>
      </c>
      <c r="M146" s="224"/>
      <c r="N146" s="222"/>
      <c r="O146" s="229"/>
      <c r="P146" s="222"/>
      <c r="Q146" s="222"/>
      <c r="R146" s="222"/>
      <c r="S146" s="222"/>
      <c r="T146" s="222"/>
      <c r="U146" s="222"/>
      <c r="V146" s="222">
        <f t="shared" si="63"/>
        <v>0</v>
      </c>
      <c r="W146" s="215"/>
    </row>
    <row r="147" spans="1:23" ht="21" x14ac:dyDescent="0.35">
      <c r="A147" s="774"/>
      <c r="B147" s="222" t="s">
        <v>2</v>
      </c>
      <c r="C147" s="222" t="s">
        <v>292</v>
      </c>
      <c r="D147" s="222"/>
      <c r="E147" s="222"/>
      <c r="F147" s="222"/>
      <c r="G147" s="222"/>
      <c r="H147" s="222"/>
      <c r="I147" s="222"/>
      <c r="J147" s="222"/>
      <c r="K147" s="222"/>
      <c r="L147" s="222">
        <f t="shared" si="64"/>
        <v>0</v>
      </c>
      <c r="M147" s="224"/>
      <c r="N147" s="222"/>
      <c r="O147" s="229"/>
      <c r="P147" s="222"/>
      <c r="Q147" s="222"/>
      <c r="R147" s="222"/>
      <c r="S147" s="222"/>
      <c r="T147" s="222"/>
      <c r="U147" s="222"/>
      <c r="V147" s="222">
        <f t="shared" si="63"/>
        <v>0</v>
      </c>
      <c r="W147" s="215"/>
    </row>
    <row r="148" spans="1:23" ht="21" x14ac:dyDescent="0.35">
      <c r="A148" s="226" t="s">
        <v>79</v>
      </c>
      <c r="B148" s="227"/>
      <c r="C148" s="227"/>
      <c r="D148" s="227">
        <f t="shared" ref="D148:K148" si="65">SUM(D142:D147)</f>
        <v>0</v>
      </c>
      <c r="E148" s="227">
        <f t="shared" si="65"/>
        <v>0</v>
      </c>
      <c r="F148" s="227">
        <f t="shared" si="65"/>
        <v>0</v>
      </c>
      <c r="G148" s="227">
        <f t="shared" si="65"/>
        <v>0</v>
      </c>
      <c r="H148" s="227">
        <f t="shared" si="65"/>
        <v>0</v>
      </c>
      <c r="I148" s="227">
        <f t="shared" si="65"/>
        <v>0</v>
      </c>
      <c r="J148" s="227">
        <f t="shared" si="65"/>
        <v>0</v>
      </c>
      <c r="K148" s="227">
        <f t="shared" si="65"/>
        <v>0</v>
      </c>
      <c r="L148" s="225">
        <f>SUM(D148:K148)</f>
        <v>0</v>
      </c>
      <c r="M148" s="221"/>
      <c r="N148" s="227">
        <f t="shared" ref="N148:U148" si="66">SUM(N142:N147)</f>
        <v>0</v>
      </c>
      <c r="O148" s="227">
        <f t="shared" si="66"/>
        <v>0</v>
      </c>
      <c r="P148" s="227">
        <f t="shared" si="66"/>
        <v>0</v>
      </c>
      <c r="Q148" s="227">
        <f t="shared" si="66"/>
        <v>0</v>
      </c>
      <c r="R148" s="227">
        <f t="shared" si="66"/>
        <v>0</v>
      </c>
      <c r="S148" s="227">
        <f t="shared" si="66"/>
        <v>0</v>
      </c>
      <c r="T148" s="227">
        <f t="shared" si="66"/>
        <v>0</v>
      </c>
      <c r="U148" s="227">
        <f t="shared" si="66"/>
        <v>0</v>
      </c>
      <c r="V148" s="243">
        <f t="shared" si="63"/>
        <v>0</v>
      </c>
      <c r="W148" s="215"/>
    </row>
    <row r="149" spans="1:23" ht="21" x14ac:dyDescent="0.35">
      <c r="A149" s="772">
        <v>44831</v>
      </c>
      <c r="B149" s="222" t="s">
        <v>2</v>
      </c>
      <c r="C149" s="222" t="s">
        <v>67</v>
      </c>
      <c r="D149" s="222"/>
      <c r="E149" s="222"/>
      <c r="F149" s="222"/>
      <c r="G149" s="222"/>
      <c r="H149" s="222"/>
      <c r="I149" s="222"/>
      <c r="J149" s="222"/>
      <c r="K149" s="222"/>
      <c r="L149" s="222">
        <f t="shared" si="64"/>
        <v>0</v>
      </c>
      <c r="M149" s="224"/>
      <c r="N149" s="222"/>
      <c r="O149" s="222"/>
      <c r="P149" s="222"/>
      <c r="Q149" s="222"/>
      <c r="R149" s="222"/>
      <c r="S149" s="222"/>
      <c r="T149" s="222"/>
      <c r="U149" s="222"/>
      <c r="V149" s="222">
        <f t="shared" si="63"/>
        <v>0</v>
      </c>
      <c r="W149" s="215"/>
    </row>
    <row r="150" spans="1:23" ht="21" x14ac:dyDescent="0.35">
      <c r="A150" s="773"/>
      <c r="B150" s="222" t="s">
        <v>2</v>
      </c>
      <c r="C150" s="222" t="s">
        <v>65</v>
      </c>
      <c r="D150" s="222"/>
      <c r="E150" s="222"/>
      <c r="F150" s="222">
        <f>140260+85330</f>
        <v>225590</v>
      </c>
      <c r="G150" s="222"/>
      <c r="H150" s="222"/>
      <c r="I150" s="222"/>
      <c r="J150" s="222"/>
      <c r="K150" s="222"/>
      <c r="L150" s="222">
        <f t="shared" si="64"/>
        <v>225590</v>
      </c>
      <c r="M150" s="224"/>
      <c r="N150" s="222"/>
      <c r="O150" s="222"/>
      <c r="P150" s="222"/>
      <c r="Q150" s="222"/>
      <c r="R150" s="222"/>
      <c r="S150" s="222"/>
      <c r="T150" s="222"/>
      <c r="U150" s="222"/>
      <c r="V150" s="222">
        <f t="shared" si="63"/>
        <v>0</v>
      </c>
      <c r="W150" s="215"/>
    </row>
    <row r="151" spans="1:23" ht="21" x14ac:dyDescent="0.35">
      <c r="A151" s="773"/>
      <c r="B151" s="222" t="s">
        <v>2</v>
      </c>
      <c r="C151" s="222" t="s">
        <v>74</v>
      </c>
      <c r="D151" s="222"/>
      <c r="E151" s="222"/>
      <c r="F151" s="222"/>
      <c r="G151" s="222"/>
      <c r="H151" s="222"/>
      <c r="I151" s="222"/>
      <c r="J151" s="222"/>
      <c r="K151" s="222"/>
      <c r="L151" s="222">
        <f t="shared" si="64"/>
        <v>0</v>
      </c>
      <c r="M151" s="224"/>
      <c r="N151" s="222"/>
      <c r="O151" s="222"/>
      <c r="P151" s="222"/>
      <c r="Q151" s="222"/>
      <c r="R151" s="222"/>
      <c r="S151" s="222"/>
      <c r="T151" s="222"/>
      <c r="U151" s="222"/>
      <c r="V151" s="222">
        <f t="shared" si="63"/>
        <v>0</v>
      </c>
      <c r="W151" s="215"/>
    </row>
    <row r="152" spans="1:23" ht="21" x14ac:dyDescent="0.35">
      <c r="A152" s="773"/>
      <c r="B152" s="222" t="s">
        <v>2</v>
      </c>
      <c r="C152" s="222" t="s">
        <v>138</v>
      </c>
      <c r="D152" s="222"/>
      <c r="E152" s="222"/>
      <c r="F152" s="222"/>
      <c r="G152" s="222"/>
      <c r="H152" s="244"/>
      <c r="I152" s="222"/>
      <c r="J152" s="222"/>
      <c r="K152" s="222"/>
      <c r="L152" s="222">
        <f t="shared" si="64"/>
        <v>0</v>
      </c>
      <c r="M152" s="224"/>
      <c r="N152" s="222"/>
      <c r="O152" s="222"/>
      <c r="P152" s="222"/>
      <c r="Q152" s="222"/>
      <c r="R152" s="222"/>
      <c r="S152" s="222"/>
      <c r="T152" s="222"/>
      <c r="U152" s="222"/>
      <c r="V152" s="222">
        <f t="shared" si="63"/>
        <v>0</v>
      </c>
      <c r="W152" s="215"/>
    </row>
    <row r="153" spans="1:23" ht="21" x14ac:dyDescent="0.35">
      <c r="A153" s="773"/>
      <c r="B153" s="222" t="s">
        <v>2</v>
      </c>
      <c r="C153" s="222" t="s">
        <v>167</v>
      </c>
      <c r="D153" s="222"/>
      <c r="E153" s="222"/>
      <c r="F153" s="222"/>
      <c r="G153" s="222"/>
      <c r="H153" s="222"/>
      <c r="I153" s="222"/>
      <c r="J153" s="222"/>
      <c r="K153" s="222"/>
      <c r="L153" s="222">
        <f t="shared" si="64"/>
        <v>0</v>
      </c>
      <c r="M153" s="224"/>
      <c r="N153" s="222"/>
      <c r="O153" s="229"/>
      <c r="P153" s="222"/>
      <c r="Q153" s="222"/>
      <c r="R153" s="222"/>
      <c r="S153" s="222"/>
      <c r="T153" s="222"/>
      <c r="U153" s="222"/>
      <c r="V153" s="222">
        <f t="shared" si="63"/>
        <v>0</v>
      </c>
      <c r="W153" s="215"/>
    </row>
    <row r="154" spans="1:23" ht="21" x14ac:dyDescent="0.35">
      <c r="A154" s="774"/>
      <c r="B154" s="222" t="s">
        <v>2</v>
      </c>
      <c r="C154" s="222" t="s">
        <v>292</v>
      </c>
      <c r="D154" s="222"/>
      <c r="E154" s="222"/>
      <c r="F154" s="222"/>
      <c r="G154" s="222"/>
      <c r="H154" s="222"/>
      <c r="I154" s="222"/>
      <c r="J154" s="222"/>
      <c r="K154" s="222"/>
      <c r="L154" s="222">
        <f t="shared" si="64"/>
        <v>0</v>
      </c>
      <c r="M154" s="224"/>
      <c r="N154" s="222"/>
      <c r="O154" s="229"/>
      <c r="P154" s="222"/>
      <c r="Q154" s="222"/>
      <c r="R154" s="222"/>
      <c r="S154" s="222"/>
      <c r="T154" s="222"/>
      <c r="U154" s="222"/>
      <c r="V154" s="222">
        <f t="shared" si="63"/>
        <v>0</v>
      </c>
      <c r="W154" s="215"/>
    </row>
    <row r="155" spans="1:23" ht="21" x14ac:dyDescent="0.35">
      <c r="A155" s="226" t="s">
        <v>80</v>
      </c>
      <c r="B155" s="227"/>
      <c r="C155" s="227"/>
      <c r="D155" s="227">
        <f t="shared" ref="D155:K155" si="67">SUM(D149:D154)</f>
        <v>0</v>
      </c>
      <c r="E155" s="227">
        <f t="shared" si="67"/>
        <v>0</v>
      </c>
      <c r="F155" s="227">
        <f t="shared" si="67"/>
        <v>225590</v>
      </c>
      <c r="G155" s="227">
        <f t="shared" si="67"/>
        <v>0</v>
      </c>
      <c r="H155" s="227">
        <f t="shared" si="67"/>
        <v>0</v>
      </c>
      <c r="I155" s="227">
        <f t="shared" si="67"/>
        <v>0</v>
      </c>
      <c r="J155" s="227">
        <f t="shared" si="67"/>
        <v>0</v>
      </c>
      <c r="K155" s="227">
        <f t="shared" si="67"/>
        <v>0</v>
      </c>
      <c r="L155" s="225">
        <f t="shared" si="64"/>
        <v>225590</v>
      </c>
      <c r="M155" s="221"/>
      <c r="N155" s="227">
        <f t="shared" ref="N155:U155" si="68">SUM(N149:N154)</f>
        <v>0</v>
      </c>
      <c r="O155" s="227">
        <f t="shared" si="68"/>
        <v>0</v>
      </c>
      <c r="P155" s="227">
        <f t="shared" si="68"/>
        <v>0</v>
      </c>
      <c r="Q155" s="227">
        <f t="shared" si="68"/>
        <v>0</v>
      </c>
      <c r="R155" s="227">
        <f t="shared" si="68"/>
        <v>0</v>
      </c>
      <c r="S155" s="227">
        <f t="shared" si="68"/>
        <v>0</v>
      </c>
      <c r="T155" s="227">
        <f t="shared" si="68"/>
        <v>0</v>
      </c>
      <c r="U155" s="227">
        <f t="shared" si="68"/>
        <v>0</v>
      </c>
      <c r="V155" s="243">
        <f t="shared" si="63"/>
        <v>0</v>
      </c>
      <c r="W155" s="215"/>
    </row>
    <row r="156" spans="1:23" ht="21" x14ac:dyDescent="0.35">
      <c r="A156" s="772">
        <v>44832</v>
      </c>
      <c r="B156" s="222" t="s">
        <v>2</v>
      </c>
      <c r="C156" s="222" t="s">
        <v>67</v>
      </c>
      <c r="D156" s="222"/>
      <c r="E156" s="222"/>
      <c r="F156" s="222"/>
      <c r="G156" s="222"/>
      <c r="H156" s="222"/>
      <c r="I156" s="222"/>
      <c r="J156" s="222"/>
      <c r="K156" s="222"/>
      <c r="L156" s="222">
        <f t="shared" si="64"/>
        <v>0</v>
      </c>
      <c r="M156" s="224"/>
      <c r="N156" s="222"/>
      <c r="O156" s="222"/>
      <c r="P156" s="222"/>
      <c r="Q156" s="222"/>
      <c r="R156" s="222"/>
      <c r="S156" s="222"/>
      <c r="T156" s="222"/>
      <c r="U156" s="222"/>
      <c r="V156" s="222">
        <f t="shared" si="63"/>
        <v>0</v>
      </c>
      <c r="W156" s="215"/>
    </row>
    <row r="157" spans="1:23" ht="21" x14ac:dyDescent="0.35">
      <c r="A157" s="773"/>
      <c r="B157" s="222" t="s">
        <v>2</v>
      </c>
      <c r="C157" s="222" t="s">
        <v>65</v>
      </c>
      <c r="D157" s="222"/>
      <c r="E157" s="222"/>
      <c r="F157" s="222"/>
      <c r="G157" s="222"/>
      <c r="H157" s="222"/>
      <c r="I157" s="222"/>
      <c r="J157" s="222"/>
      <c r="K157" s="222"/>
      <c r="L157" s="222">
        <f t="shared" si="64"/>
        <v>0</v>
      </c>
      <c r="M157" s="224"/>
      <c r="N157" s="229"/>
      <c r="O157" s="222"/>
      <c r="P157" s="222"/>
      <c r="Q157" s="222"/>
      <c r="R157" s="222"/>
      <c r="S157" s="222"/>
      <c r="T157" s="222">
        <v>33430</v>
      </c>
      <c r="U157" s="222"/>
      <c r="V157" s="222">
        <f t="shared" si="63"/>
        <v>33430</v>
      </c>
      <c r="W157" s="215"/>
    </row>
    <row r="158" spans="1:23" ht="21" x14ac:dyDescent="0.35">
      <c r="A158" s="773"/>
      <c r="B158" s="222" t="s">
        <v>2</v>
      </c>
      <c r="C158" s="222" t="s">
        <v>74</v>
      </c>
      <c r="D158" s="222"/>
      <c r="E158" s="229"/>
      <c r="F158" s="222"/>
      <c r="G158" s="222"/>
      <c r="H158" s="222"/>
      <c r="I158" s="222"/>
      <c r="J158" s="222"/>
      <c r="K158" s="222"/>
      <c r="L158" s="222">
        <f t="shared" si="64"/>
        <v>0</v>
      </c>
      <c r="M158" s="224"/>
      <c r="N158" s="222"/>
      <c r="O158" s="222"/>
      <c r="P158" s="222"/>
      <c r="Q158" s="222"/>
      <c r="R158" s="222"/>
      <c r="S158" s="222"/>
      <c r="T158" s="222"/>
      <c r="U158" s="222"/>
      <c r="V158" s="222">
        <f t="shared" si="63"/>
        <v>0</v>
      </c>
      <c r="W158" s="215"/>
    </row>
    <row r="159" spans="1:23" ht="21" x14ac:dyDescent="0.35">
      <c r="A159" s="773"/>
      <c r="B159" s="222" t="s">
        <v>2</v>
      </c>
      <c r="C159" s="222" t="s">
        <v>138</v>
      </c>
      <c r="D159" s="222"/>
      <c r="E159" s="222"/>
      <c r="F159" s="222"/>
      <c r="G159" s="222"/>
      <c r="H159" s="222"/>
      <c r="I159" s="222"/>
      <c r="J159" s="222"/>
      <c r="K159" s="222"/>
      <c r="L159" s="222">
        <f t="shared" si="64"/>
        <v>0</v>
      </c>
      <c r="M159" s="224"/>
      <c r="N159" s="222"/>
      <c r="O159" s="222"/>
      <c r="P159" s="222"/>
      <c r="Q159" s="222"/>
      <c r="R159" s="222"/>
      <c r="S159" s="222"/>
      <c r="T159" s="222"/>
      <c r="U159" s="222"/>
      <c r="V159" s="222">
        <f t="shared" si="63"/>
        <v>0</v>
      </c>
      <c r="W159" s="215"/>
    </row>
    <row r="160" spans="1:23" ht="21" x14ac:dyDescent="0.35">
      <c r="A160" s="773"/>
      <c r="B160" s="222" t="s">
        <v>2</v>
      </c>
      <c r="C160" s="222" t="s">
        <v>167</v>
      </c>
      <c r="D160" s="222"/>
      <c r="E160" s="222"/>
      <c r="F160" s="222"/>
      <c r="G160" s="222"/>
      <c r="H160" s="222"/>
      <c r="I160" s="222"/>
      <c r="J160" s="222"/>
      <c r="K160" s="222"/>
      <c r="L160" s="222">
        <f t="shared" si="64"/>
        <v>0</v>
      </c>
      <c r="M160" s="224"/>
      <c r="N160" s="222"/>
      <c r="O160" s="229"/>
      <c r="P160" s="222"/>
      <c r="Q160" s="222"/>
      <c r="R160" s="222"/>
      <c r="S160" s="222"/>
      <c r="T160" s="222"/>
      <c r="U160" s="222"/>
      <c r="V160" s="222">
        <f t="shared" si="63"/>
        <v>0</v>
      </c>
      <c r="W160" s="215"/>
    </row>
    <row r="161" spans="1:23" ht="21" x14ac:dyDescent="0.35">
      <c r="A161" s="774"/>
      <c r="B161" s="222" t="s">
        <v>2</v>
      </c>
      <c r="C161" s="222" t="s">
        <v>292</v>
      </c>
      <c r="D161" s="222"/>
      <c r="E161" s="222"/>
      <c r="F161" s="222"/>
      <c r="G161" s="222"/>
      <c r="H161" s="222"/>
      <c r="I161" s="222"/>
      <c r="J161" s="222"/>
      <c r="K161" s="222"/>
      <c r="L161" s="222">
        <f t="shared" si="64"/>
        <v>0</v>
      </c>
      <c r="M161" s="224"/>
      <c r="N161" s="222"/>
      <c r="O161" s="229"/>
      <c r="P161" s="222"/>
      <c r="Q161" s="222"/>
      <c r="R161" s="222"/>
      <c r="S161" s="222"/>
      <c r="T161" s="222"/>
      <c r="U161" s="222"/>
      <c r="V161" s="222">
        <f t="shared" si="63"/>
        <v>0</v>
      </c>
      <c r="W161" s="215"/>
    </row>
    <row r="162" spans="1:23" ht="21" x14ac:dyDescent="0.35">
      <c r="A162" s="226" t="s">
        <v>82</v>
      </c>
      <c r="B162" s="227"/>
      <c r="C162" s="227"/>
      <c r="D162" s="227">
        <f t="shared" ref="D162:K162" si="69">SUM(D156:D161)</f>
        <v>0</v>
      </c>
      <c r="E162" s="227">
        <f t="shared" si="69"/>
        <v>0</v>
      </c>
      <c r="F162" s="227">
        <f t="shared" si="69"/>
        <v>0</v>
      </c>
      <c r="G162" s="227">
        <f t="shared" si="69"/>
        <v>0</v>
      </c>
      <c r="H162" s="227">
        <f t="shared" si="69"/>
        <v>0</v>
      </c>
      <c r="I162" s="227">
        <f t="shared" si="69"/>
        <v>0</v>
      </c>
      <c r="J162" s="227">
        <f t="shared" si="69"/>
        <v>0</v>
      </c>
      <c r="K162" s="227">
        <f t="shared" si="69"/>
        <v>0</v>
      </c>
      <c r="L162" s="225">
        <f t="shared" si="64"/>
        <v>0</v>
      </c>
      <c r="M162" s="221"/>
      <c r="N162" s="227">
        <f t="shared" ref="N162:U162" si="70">SUM(N156:N161)</f>
        <v>0</v>
      </c>
      <c r="O162" s="227">
        <f t="shared" si="70"/>
        <v>0</v>
      </c>
      <c r="P162" s="227">
        <f t="shared" si="70"/>
        <v>0</v>
      </c>
      <c r="Q162" s="227">
        <f t="shared" si="70"/>
        <v>0</v>
      </c>
      <c r="R162" s="227">
        <f t="shared" si="70"/>
        <v>0</v>
      </c>
      <c r="S162" s="227">
        <f t="shared" si="70"/>
        <v>0</v>
      </c>
      <c r="T162" s="227">
        <f t="shared" si="70"/>
        <v>33430</v>
      </c>
      <c r="U162" s="227">
        <f t="shared" si="70"/>
        <v>0</v>
      </c>
      <c r="V162" s="243">
        <f t="shared" si="63"/>
        <v>33430</v>
      </c>
      <c r="W162" s="215"/>
    </row>
    <row r="163" spans="1:23" ht="21" x14ac:dyDescent="0.35">
      <c r="A163" s="772">
        <v>44833</v>
      </c>
      <c r="B163" s="222" t="s">
        <v>2</v>
      </c>
      <c r="C163" s="222" t="s">
        <v>67</v>
      </c>
      <c r="D163" s="222"/>
      <c r="E163" s="222"/>
      <c r="F163" s="222"/>
      <c r="G163" s="222"/>
      <c r="H163" s="222"/>
      <c r="I163" s="222"/>
      <c r="J163" s="222"/>
      <c r="K163" s="222"/>
      <c r="L163" s="222">
        <f t="shared" si="64"/>
        <v>0</v>
      </c>
      <c r="M163" s="224"/>
      <c r="N163" s="222"/>
      <c r="O163" s="222"/>
      <c r="P163" s="222"/>
      <c r="Q163" s="222"/>
      <c r="R163" s="222"/>
      <c r="S163" s="222"/>
      <c r="T163" s="222"/>
      <c r="U163" s="222"/>
      <c r="V163" s="222">
        <f t="shared" si="63"/>
        <v>0</v>
      </c>
      <c r="W163" s="215"/>
    </row>
    <row r="164" spans="1:23" ht="21" x14ac:dyDescent="0.35">
      <c r="A164" s="773"/>
      <c r="B164" s="222" t="s">
        <v>2</v>
      </c>
      <c r="C164" s="222" t="s">
        <v>65</v>
      </c>
      <c r="D164" s="222"/>
      <c r="E164" s="222"/>
      <c r="F164" s="222"/>
      <c r="G164" s="222"/>
      <c r="H164" s="222"/>
      <c r="I164" s="222"/>
      <c r="J164" s="222"/>
      <c r="K164" s="222"/>
      <c r="L164" s="222">
        <f t="shared" si="64"/>
        <v>0</v>
      </c>
      <c r="M164" s="224"/>
      <c r="N164" s="222"/>
      <c r="O164" s="222"/>
      <c r="P164" s="222"/>
      <c r="Q164" s="222"/>
      <c r="R164" s="222"/>
      <c r="S164" s="222"/>
      <c r="T164" s="222">
        <v>16250</v>
      </c>
      <c r="U164" s="222"/>
      <c r="V164" s="222">
        <f t="shared" si="63"/>
        <v>16250</v>
      </c>
      <c r="W164" s="215"/>
    </row>
    <row r="165" spans="1:23" ht="21" x14ac:dyDescent="0.35">
      <c r="A165" s="773"/>
      <c r="B165" s="222" t="s">
        <v>2</v>
      </c>
      <c r="C165" s="222" t="s">
        <v>74</v>
      </c>
      <c r="D165" s="222"/>
      <c r="E165" s="222"/>
      <c r="F165" s="222"/>
      <c r="G165" s="222"/>
      <c r="H165" s="222"/>
      <c r="I165" s="222"/>
      <c r="J165" s="222"/>
      <c r="K165" s="222"/>
      <c r="L165" s="222">
        <f t="shared" si="64"/>
        <v>0</v>
      </c>
      <c r="M165" s="224"/>
      <c r="N165" s="222"/>
      <c r="O165" s="222"/>
      <c r="P165" s="222"/>
      <c r="Q165" s="222"/>
      <c r="R165" s="222"/>
      <c r="S165" s="222"/>
      <c r="T165" s="222"/>
      <c r="U165" s="222"/>
      <c r="V165" s="222">
        <f t="shared" si="63"/>
        <v>0</v>
      </c>
      <c r="W165" s="215"/>
    </row>
    <row r="166" spans="1:23" ht="21" x14ac:dyDescent="0.35">
      <c r="A166" s="773"/>
      <c r="B166" s="222" t="s">
        <v>2</v>
      </c>
      <c r="C166" s="222" t="s">
        <v>138</v>
      </c>
      <c r="D166" s="222"/>
      <c r="E166" s="222"/>
      <c r="F166" s="222"/>
      <c r="G166" s="222"/>
      <c r="H166" s="222"/>
      <c r="I166" s="222"/>
      <c r="J166" s="222"/>
      <c r="K166" s="222"/>
      <c r="L166" s="222">
        <f t="shared" si="64"/>
        <v>0</v>
      </c>
      <c r="M166" s="224"/>
      <c r="N166" s="222"/>
      <c r="O166" s="222"/>
      <c r="P166" s="222"/>
      <c r="Q166" s="222"/>
      <c r="R166" s="222"/>
      <c r="S166" s="222"/>
      <c r="T166" s="222"/>
      <c r="U166" s="222"/>
      <c r="V166" s="222">
        <f t="shared" si="63"/>
        <v>0</v>
      </c>
      <c r="W166" s="215"/>
    </row>
    <row r="167" spans="1:23" ht="21" x14ac:dyDescent="0.35">
      <c r="A167" s="773"/>
      <c r="B167" s="222" t="s">
        <v>2</v>
      </c>
      <c r="C167" s="222" t="s">
        <v>167</v>
      </c>
      <c r="D167" s="222"/>
      <c r="E167" s="222"/>
      <c r="F167" s="222"/>
      <c r="G167" s="222"/>
      <c r="H167" s="222"/>
      <c r="I167" s="222"/>
      <c r="J167" s="222"/>
      <c r="K167" s="222"/>
      <c r="L167" s="222">
        <f t="shared" si="64"/>
        <v>0</v>
      </c>
      <c r="M167" s="224"/>
      <c r="N167" s="222"/>
      <c r="O167" s="229"/>
      <c r="P167" s="222"/>
      <c r="Q167" s="222"/>
      <c r="R167" s="222"/>
      <c r="S167" s="222"/>
      <c r="T167" s="222"/>
      <c r="U167" s="222"/>
      <c r="V167" s="222">
        <f t="shared" si="63"/>
        <v>0</v>
      </c>
      <c r="W167" s="215"/>
    </row>
    <row r="168" spans="1:23" ht="21" x14ac:dyDescent="0.35">
      <c r="A168" s="774"/>
      <c r="B168" s="222" t="s">
        <v>2</v>
      </c>
      <c r="C168" s="222" t="s">
        <v>292</v>
      </c>
      <c r="D168" s="222"/>
      <c r="E168" s="222"/>
      <c r="F168" s="222"/>
      <c r="G168" s="222"/>
      <c r="H168" s="222"/>
      <c r="I168" s="222"/>
      <c r="J168" s="222"/>
      <c r="K168" s="222"/>
      <c r="L168" s="222">
        <f t="shared" si="64"/>
        <v>0</v>
      </c>
      <c r="M168" s="224"/>
      <c r="N168" s="222"/>
      <c r="O168" s="229"/>
      <c r="P168" s="222"/>
      <c r="Q168" s="222"/>
      <c r="R168" s="222"/>
      <c r="S168" s="222"/>
      <c r="T168" s="222"/>
      <c r="U168" s="222"/>
      <c r="V168" s="222">
        <f t="shared" si="63"/>
        <v>0</v>
      </c>
      <c r="W168" s="215"/>
    </row>
    <row r="169" spans="1:23" ht="21" x14ac:dyDescent="0.35">
      <c r="A169" s="226" t="s">
        <v>81</v>
      </c>
      <c r="B169" s="227"/>
      <c r="C169" s="227"/>
      <c r="D169" s="227">
        <f t="shared" ref="D169:K169" si="71">SUM(D163:D168)</f>
        <v>0</v>
      </c>
      <c r="E169" s="227">
        <f t="shared" si="71"/>
        <v>0</v>
      </c>
      <c r="F169" s="227">
        <f t="shared" si="71"/>
        <v>0</v>
      </c>
      <c r="G169" s="227">
        <f t="shared" si="71"/>
        <v>0</v>
      </c>
      <c r="H169" s="227">
        <f t="shared" si="71"/>
        <v>0</v>
      </c>
      <c r="I169" s="227">
        <f t="shared" si="71"/>
        <v>0</v>
      </c>
      <c r="J169" s="227">
        <f t="shared" si="71"/>
        <v>0</v>
      </c>
      <c r="K169" s="227">
        <f t="shared" si="71"/>
        <v>0</v>
      </c>
      <c r="L169" s="225">
        <f t="shared" si="64"/>
        <v>0</v>
      </c>
      <c r="M169" s="221"/>
      <c r="N169" s="227">
        <f t="shared" ref="N169:U169" si="72">SUM(N163:N168)</f>
        <v>0</v>
      </c>
      <c r="O169" s="227">
        <f t="shared" si="72"/>
        <v>0</v>
      </c>
      <c r="P169" s="227">
        <f t="shared" si="72"/>
        <v>0</v>
      </c>
      <c r="Q169" s="227">
        <f t="shared" si="72"/>
        <v>0</v>
      </c>
      <c r="R169" s="227">
        <f t="shared" si="72"/>
        <v>0</v>
      </c>
      <c r="S169" s="227">
        <f t="shared" si="72"/>
        <v>0</v>
      </c>
      <c r="T169" s="227">
        <f t="shared" si="72"/>
        <v>16250</v>
      </c>
      <c r="U169" s="227">
        <f t="shared" si="72"/>
        <v>0</v>
      </c>
      <c r="V169" s="243">
        <f t="shared" si="63"/>
        <v>16250</v>
      </c>
      <c r="W169" s="215"/>
    </row>
    <row r="170" spans="1:23" ht="21" x14ac:dyDescent="0.35">
      <c r="A170" s="772">
        <v>44834</v>
      </c>
      <c r="B170" s="222" t="s">
        <v>2</v>
      </c>
      <c r="C170" s="222" t="s">
        <v>67</v>
      </c>
      <c r="D170" s="222"/>
      <c r="E170" s="222"/>
      <c r="F170" s="222"/>
      <c r="G170" s="222"/>
      <c r="H170" s="222"/>
      <c r="I170" s="222"/>
      <c r="J170" s="222"/>
      <c r="K170" s="222"/>
      <c r="L170" s="222">
        <f t="shared" si="64"/>
        <v>0</v>
      </c>
      <c r="M170" s="224"/>
      <c r="N170" s="222">
        <v>78120</v>
      </c>
      <c r="O170" s="222"/>
      <c r="P170" s="222"/>
      <c r="Q170" s="222"/>
      <c r="R170" s="222"/>
      <c r="S170" s="222"/>
      <c r="T170" s="222"/>
      <c r="U170" s="222"/>
      <c r="V170" s="222">
        <f t="shared" si="63"/>
        <v>78120</v>
      </c>
      <c r="W170" s="215"/>
    </row>
    <row r="171" spans="1:23" ht="21" x14ac:dyDescent="0.35">
      <c r="A171" s="773"/>
      <c r="B171" s="222" t="s">
        <v>2</v>
      </c>
      <c r="C171" s="222" t="s">
        <v>65</v>
      </c>
      <c r="D171" s="222"/>
      <c r="E171" s="222"/>
      <c r="F171" s="222"/>
      <c r="G171" s="245"/>
      <c r="H171" s="222"/>
      <c r="I171" s="222"/>
      <c r="J171" s="222"/>
      <c r="K171" s="222"/>
      <c r="L171" s="222">
        <f t="shared" si="64"/>
        <v>0</v>
      </c>
      <c r="M171" s="224"/>
      <c r="N171" s="222"/>
      <c r="O171" s="222"/>
      <c r="P171" s="222"/>
      <c r="Q171" s="222"/>
      <c r="R171" s="222"/>
      <c r="S171" s="222"/>
      <c r="T171" s="222"/>
      <c r="U171" s="222"/>
      <c r="V171" s="222">
        <f t="shared" si="63"/>
        <v>0</v>
      </c>
      <c r="W171" s="215"/>
    </row>
    <row r="172" spans="1:23" ht="21" x14ac:dyDescent="0.35">
      <c r="A172" s="773"/>
      <c r="B172" s="222" t="s">
        <v>2</v>
      </c>
      <c r="C172" s="222" t="s">
        <v>74</v>
      </c>
      <c r="D172" s="245"/>
      <c r="E172" s="222"/>
      <c r="F172" s="222"/>
      <c r="G172" s="222"/>
      <c r="H172" s="222"/>
      <c r="I172" s="245"/>
      <c r="J172" s="246"/>
      <c r="K172" s="245"/>
      <c r="L172" s="222">
        <f t="shared" si="64"/>
        <v>0</v>
      </c>
      <c r="M172" s="224"/>
      <c r="N172" s="222"/>
      <c r="O172" s="222"/>
      <c r="P172" s="222"/>
      <c r="Q172" s="222"/>
      <c r="R172" s="222"/>
      <c r="S172" s="222"/>
      <c r="T172" s="222"/>
      <c r="U172" s="222"/>
      <c r="V172" s="222">
        <f t="shared" si="63"/>
        <v>0</v>
      </c>
      <c r="W172" s="215"/>
    </row>
    <row r="173" spans="1:23" ht="21" x14ac:dyDescent="0.35">
      <c r="A173" s="773"/>
      <c r="B173" s="222" t="s">
        <v>2</v>
      </c>
      <c r="C173" s="222" t="s">
        <v>138</v>
      </c>
      <c r="D173" s="222"/>
      <c r="E173" s="222"/>
      <c r="F173" s="222"/>
      <c r="G173" s="222"/>
      <c r="H173" s="222"/>
      <c r="I173" s="222"/>
      <c r="J173" s="222"/>
      <c r="K173" s="222"/>
      <c r="L173" s="222">
        <f t="shared" si="64"/>
        <v>0</v>
      </c>
      <c r="M173" s="224"/>
      <c r="N173" s="222"/>
      <c r="O173" s="222"/>
      <c r="P173" s="222"/>
      <c r="Q173" s="222"/>
      <c r="R173" s="222"/>
      <c r="S173" s="222"/>
      <c r="T173" s="222"/>
      <c r="U173" s="222"/>
      <c r="V173" s="222">
        <f t="shared" si="63"/>
        <v>0</v>
      </c>
      <c r="W173" s="215"/>
    </row>
    <row r="174" spans="1:23" ht="21" x14ac:dyDescent="0.35">
      <c r="A174" s="773"/>
      <c r="B174" s="222" t="s">
        <v>2</v>
      </c>
      <c r="C174" s="222" t="s">
        <v>167</v>
      </c>
      <c r="D174" s="222"/>
      <c r="E174" s="222"/>
      <c r="F174" s="222"/>
      <c r="G174" s="222"/>
      <c r="H174" s="222"/>
      <c r="I174" s="222"/>
      <c r="J174" s="222"/>
      <c r="K174" s="222"/>
      <c r="L174" s="222">
        <f t="shared" si="64"/>
        <v>0</v>
      </c>
      <c r="M174" s="224"/>
      <c r="N174" s="222"/>
      <c r="O174" s="229"/>
      <c r="P174" s="222"/>
      <c r="Q174" s="222"/>
      <c r="R174" s="222"/>
      <c r="S174" s="222"/>
      <c r="T174" s="222"/>
      <c r="U174" s="222"/>
      <c r="V174" s="222">
        <f t="shared" si="63"/>
        <v>0</v>
      </c>
      <c r="W174" s="215"/>
    </row>
    <row r="175" spans="1:23" ht="21" x14ac:dyDescent="0.35">
      <c r="A175" s="774"/>
      <c r="B175" s="222" t="s">
        <v>2</v>
      </c>
      <c r="C175" s="222" t="s">
        <v>292</v>
      </c>
      <c r="D175" s="222"/>
      <c r="E175" s="222"/>
      <c r="F175" s="222"/>
      <c r="G175" s="222"/>
      <c r="H175" s="222"/>
      <c r="I175" s="222"/>
      <c r="J175" s="222"/>
      <c r="K175" s="222"/>
      <c r="L175" s="222">
        <f t="shared" si="64"/>
        <v>0</v>
      </c>
      <c r="M175" s="224"/>
      <c r="N175" s="222"/>
      <c r="O175" s="229"/>
      <c r="P175" s="222"/>
      <c r="Q175" s="222"/>
      <c r="R175" s="222"/>
      <c r="S175" s="222"/>
      <c r="T175" s="222"/>
      <c r="U175" s="222"/>
      <c r="V175" s="222">
        <f t="shared" si="63"/>
        <v>0</v>
      </c>
      <c r="W175" s="215"/>
    </row>
    <row r="176" spans="1:23" ht="21" x14ac:dyDescent="0.35">
      <c r="A176" s="226" t="s">
        <v>83</v>
      </c>
      <c r="B176" s="227"/>
      <c r="C176" s="227"/>
      <c r="D176" s="227">
        <f t="shared" ref="D176:K176" si="73">SUM(D170:D175)</f>
        <v>0</v>
      </c>
      <c r="E176" s="227">
        <f t="shared" si="73"/>
        <v>0</v>
      </c>
      <c r="F176" s="227">
        <f t="shared" si="73"/>
        <v>0</v>
      </c>
      <c r="G176" s="227">
        <f t="shared" si="73"/>
        <v>0</v>
      </c>
      <c r="H176" s="227">
        <f t="shared" si="73"/>
        <v>0</v>
      </c>
      <c r="I176" s="227">
        <f t="shared" si="73"/>
        <v>0</v>
      </c>
      <c r="J176" s="227">
        <f t="shared" si="73"/>
        <v>0</v>
      </c>
      <c r="K176" s="227">
        <f t="shared" si="73"/>
        <v>0</v>
      </c>
      <c r="L176" s="225">
        <f t="shared" si="64"/>
        <v>0</v>
      </c>
      <c r="M176" s="221"/>
      <c r="N176" s="227">
        <f t="shared" ref="N176:U176" si="74">SUM(N170:N175)</f>
        <v>78120</v>
      </c>
      <c r="O176" s="227">
        <f t="shared" si="74"/>
        <v>0</v>
      </c>
      <c r="P176" s="227">
        <f t="shared" si="74"/>
        <v>0</v>
      </c>
      <c r="Q176" s="227">
        <f t="shared" si="74"/>
        <v>0</v>
      </c>
      <c r="R176" s="227">
        <f t="shared" si="74"/>
        <v>0</v>
      </c>
      <c r="S176" s="227">
        <f t="shared" si="74"/>
        <v>0</v>
      </c>
      <c r="T176" s="227">
        <f t="shared" si="74"/>
        <v>0</v>
      </c>
      <c r="U176" s="227">
        <f t="shared" si="74"/>
        <v>0</v>
      </c>
      <c r="V176" s="243">
        <f t="shared" si="63"/>
        <v>78120</v>
      </c>
      <c r="W176" s="215"/>
    </row>
    <row r="177" spans="1:23" ht="21" x14ac:dyDescent="0.35">
      <c r="A177" s="772" t="s">
        <v>1119</v>
      </c>
      <c r="B177" s="222" t="s">
        <v>2</v>
      </c>
      <c r="C177" s="222" t="s">
        <v>67</v>
      </c>
      <c r="D177" s="222"/>
      <c r="E177" s="222"/>
      <c r="F177" s="229"/>
      <c r="G177" s="246"/>
      <c r="H177" s="222"/>
      <c r="I177" s="222"/>
      <c r="J177" s="222"/>
      <c r="K177" s="222"/>
      <c r="L177" s="222">
        <f t="shared" si="64"/>
        <v>0</v>
      </c>
      <c r="M177" s="224"/>
      <c r="N177" s="222"/>
      <c r="O177" s="222"/>
      <c r="P177" s="222"/>
      <c r="Q177" s="222"/>
      <c r="R177" s="222"/>
      <c r="S177" s="222"/>
      <c r="T177" s="222"/>
      <c r="U177" s="222"/>
      <c r="V177" s="222">
        <f t="shared" si="63"/>
        <v>0</v>
      </c>
      <c r="W177" s="215"/>
    </row>
    <row r="178" spans="1:23" ht="21" x14ac:dyDescent="0.35">
      <c r="A178" s="773"/>
      <c r="B178" s="222" t="s">
        <v>2</v>
      </c>
      <c r="C178" s="222" t="s">
        <v>65</v>
      </c>
      <c r="D178" s="222"/>
      <c r="E178" s="222"/>
      <c r="F178" s="222"/>
      <c r="G178" s="246"/>
      <c r="H178" s="222"/>
      <c r="I178" s="222"/>
      <c r="J178" s="222"/>
      <c r="K178" s="222"/>
      <c r="L178" s="222">
        <f t="shared" si="64"/>
        <v>0</v>
      </c>
      <c r="M178" s="224"/>
      <c r="N178" s="222"/>
      <c r="O178" s="222"/>
      <c r="P178" s="222"/>
      <c r="Q178" s="222"/>
      <c r="R178" s="222"/>
      <c r="S178" s="222"/>
      <c r="T178" s="222"/>
      <c r="U178" s="222"/>
      <c r="V178" s="222">
        <f t="shared" si="63"/>
        <v>0</v>
      </c>
      <c r="W178" s="215"/>
    </row>
    <row r="179" spans="1:23" ht="21" x14ac:dyDescent="0.35">
      <c r="A179" s="773"/>
      <c r="B179" s="222" t="s">
        <v>2</v>
      </c>
      <c r="C179" s="222" t="s">
        <v>74</v>
      </c>
      <c r="D179" s="222"/>
      <c r="E179" s="222"/>
      <c r="F179" s="222"/>
      <c r="G179" s="246"/>
      <c r="H179" s="222"/>
      <c r="I179" s="222"/>
      <c r="J179" s="222"/>
      <c r="K179" s="222"/>
      <c r="L179" s="222">
        <f t="shared" si="64"/>
        <v>0</v>
      </c>
      <c r="M179" s="224"/>
      <c r="N179" s="222"/>
      <c r="O179" s="222"/>
      <c r="P179" s="222"/>
      <c r="Q179" s="222"/>
      <c r="R179" s="222"/>
      <c r="S179" s="222"/>
      <c r="T179" s="222"/>
      <c r="U179" s="222"/>
      <c r="V179" s="222">
        <f t="shared" si="63"/>
        <v>0</v>
      </c>
      <c r="W179" s="215"/>
    </row>
    <row r="180" spans="1:23" ht="21" x14ac:dyDescent="0.35">
      <c r="A180" s="773"/>
      <c r="B180" s="222" t="s">
        <v>2</v>
      </c>
      <c r="C180" s="222" t="s">
        <v>138</v>
      </c>
      <c r="D180" s="222"/>
      <c r="E180" s="222"/>
      <c r="F180" s="222"/>
      <c r="G180" s="246"/>
      <c r="H180" s="222"/>
      <c r="I180" s="222"/>
      <c r="J180" s="222"/>
      <c r="K180" s="222"/>
      <c r="L180" s="222">
        <f t="shared" si="64"/>
        <v>0</v>
      </c>
      <c r="M180" s="224"/>
      <c r="N180" s="222"/>
      <c r="O180" s="222"/>
      <c r="P180" s="222"/>
      <c r="Q180" s="222"/>
      <c r="R180" s="222"/>
      <c r="S180" s="222"/>
      <c r="T180" s="222"/>
      <c r="U180" s="222"/>
      <c r="V180" s="222">
        <f t="shared" si="63"/>
        <v>0</v>
      </c>
      <c r="W180" s="215"/>
    </row>
    <row r="181" spans="1:23" ht="21" x14ac:dyDescent="0.35">
      <c r="A181" s="773"/>
      <c r="B181" s="222" t="s">
        <v>2</v>
      </c>
      <c r="C181" s="222" t="s">
        <v>167</v>
      </c>
      <c r="D181" s="222"/>
      <c r="E181" s="222"/>
      <c r="F181" s="222"/>
      <c r="G181" s="222"/>
      <c r="H181" s="222"/>
      <c r="I181" s="222"/>
      <c r="J181" s="222"/>
      <c r="K181" s="222"/>
      <c r="L181" s="222">
        <f t="shared" si="64"/>
        <v>0</v>
      </c>
      <c r="M181" s="224"/>
      <c r="N181" s="222"/>
      <c r="O181" s="229"/>
      <c r="P181" s="222"/>
      <c r="Q181" s="222"/>
      <c r="R181" s="222"/>
      <c r="S181" s="222"/>
      <c r="T181" s="222"/>
      <c r="U181" s="222"/>
      <c r="V181" s="222">
        <f t="shared" si="63"/>
        <v>0</v>
      </c>
      <c r="W181" s="230"/>
    </row>
    <row r="182" spans="1:23" ht="21" x14ac:dyDescent="0.35">
      <c r="A182" s="774"/>
      <c r="B182" s="222" t="s">
        <v>2</v>
      </c>
      <c r="C182" s="222" t="s">
        <v>292</v>
      </c>
      <c r="D182" s="222"/>
      <c r="E182" s="222"/>
      <c r="F182" s="222"/>
      <c r="G182" s="222"/>
      <c r="H182" s="222"/>
      <c r="I182" s="222"/>
      <c r="J182" s="222"/>
      <c r="K182" s="222"/>
      <c r="L182" s="222">
        <f t="shared" si="64"/>
        <v>0</v>
      </c>
      <c r="M182" s="224"/>
      <c r="N182" s="222"/>
      <c r="O182" s="229"/>
      <c r="P182" s="222"/>
      <c r="Q182" s="222"/>
      <c r="R182" s="222"/>
      <c r="S182" s="222"/>
      <c r="T182" s="222"/>
      <c r="U182" s="222"/>
      <c r="V182" s="222">
        <f t="shared" si="63"/>
        <v>0</v>
      </c>
      <c r="W182" s="230"/>
    </row>
    <row r="183" spans="1:23" ht="21" x14ac:dyDescent="0.35">
      <c r="A183" s="226" t="s">
        <v>84</v>
      </c>
      <c r="B183" s="227"/>
      <c r="C183" s="227"/>
      <c r="D183" s="227">
        <f t="shared" ref="D183:K183" si="75">SUM(D177:D182)</f>
        <v>0</v>
      </c>
      <c r="E183" s="227">
        <f t="shared" si="75"/>
        <v>0</v>
      </c>
      <c r="F183" s="227">
        <f t="shared" si="75"/>
        <v>0</v>
      </c>
      <c r="G183" s="227">
        <f t="shared" si="75"/>
        <v>0</v>
      </c>
      <c r="H183" s="227">
        <f t="shared" si="75"/>
        <v>0</v>
      </c>
      <c r="I183" s="227">
        <f t="shared" si="75"/>
        <v>0</v>
      </c>
      <c r="J183" s="227">
        <f t="shared" si="75"/>
        <v>0</v>
      </c>
      <c r="K183" s="227">
        <f t="shared" si="75"/>
        <v>0</v>
      </c>
      <c r="L183" s="225">
        <f t="shared" si="64"/>
        <v>0</v>
      </c>
      <c r="M183" s="221"/>
      <c r="N183" s="227">
        <f t="shared" ref="N183:U183" si="76">SUM(N177:N182)</f>
        <v>0</v>
      </c>
      <c r="O183" s="227">
        <f t="shared" si="76"/>
        <v>0</v>
      </c>
      <c r="P183" s="227">
        <f t="shared" si="76"/>
        <v>0</v>
      </c>
      <c r="Q183" s="227">
        <f t="shared" si="76"/>
        <v>0</v>
      </c>
      <c r="R183" s="227">
        <f t="shared" si="76"/>
        <v>0</v>
      </c>
      <c r="S183" s="227">
        <f t="shared" si="76"/>
        <v>0</v>
      </c>
      <c r="T183" s="227">
        <f t="shared" si="76"/>
        <v>0</v>
      </c>
      <c r="U183" s="227">
        <f t="shared" si="76"/>
        <v>0</v>
      </c>
      <c r="V183" s="243">
        <f t="shared" si="63"/>
        <v>0</v>
      </c>
      <c r="W183" s="230"/>
    </row>
    <row r="184" spans="1:23" ht="21" x14ac:dyDescent="0.35">
      <c r="A184" s="772">
        <v>44835</v>
      </c>
      <c r="B184" s="222" t="s">
        <v>2</v>
      </c>
      <c r="C184" s="222" t="s">
        <v>67</v>
      </c>
      <c r="D184" s="222"/>
      <c r="E184" s="222"/>
      <c r="F184" s="222"/>
      <c r="G184" s="222"/>
      <c r="H184" s="222"/>
      <c r="I184" s="222"/>
      <c r="J184" s="222"/>
      <c r="K184" s="222"/>
      <c r="L184" s="222">
        <f t="shared" si="64"/>
        <v>0</v>
      </c>
      <c r="M184" s="224"/>
      <c r="N184" s="222"/>
      <c r="O184" s="222"/>
      <c r="P184" s="222"/>
      <c r="Q184" s="222"/>
      <c r="R184" s="222"/>
      <c r="S184" s="222"/>
      <c r="T184" s="222"/>
      <c r="U184" s="222"/>
      <c r="V184" s="222">
        <f t="shared" si="63"/>
        <v>0</v>
      </c>
      <c r="W184" s="230"/>
    </row>
    <row r="185" spans="1:23" ht="21" x14ac:dyDescent="0.35">
      <c r="A185" s="773"/>
      <c r="B185" s="222" t="s">
        <v>2</v>
      </c>
      <c r="C185" s="222" t="s">
        <v>65</v>
      </c>
      <c r="D185" s="222"/>
      <c r="E185" s="222"/>
      <c r="F185" s="222"/>
      <c r="G185" s="222"/>
      <c r="H185" s="222"/>
      <c r="I185" s="222"/>
      <c r="J185" s="222"/>
      <c r="K185" s="222"/>
      <c r="L185" s="222">
        <f t="shared" si="64"/>
        <v>0</v>
      </c>
      <c r="M185" s="224"/>
      <c r="N185" s="222"/>
      <c r="O185" s="229"/>
      <c r="P185" s="222"/>
      <c r="Q185" s="222"/>
      <c r="R185" s="222"/>
      <c r="S185" s="222"/>
      <c r="T185" s="222"/>
      <c r="U185" s="222"/>
      <c r="V185" s="222">
        <f t="shared" si="63"/>
        <v>0</v>
      </c>
      <c r="W185" s="230"/>
    </row>
    <row r="186" spans="1:23" ht="21" x14ac:dyDescent="0.35">
      <c r="A186" s="773"/>
      <c r="B186" s="222" t="s">
        <v>2</v>
      </c>
      <c r="C186" s="222" t="s">
        <v>74</v>
      </c>
      <c r="D186" s="222"/>
      <c r="E186" s="222"/>
      <c r="F186" s="222"/>
      <c r="G186" s="222"/>
      <c r="H186" s="222"/>
      <c r="I186" s="222"/>
      <c r="J186" s="222"/>
      <c r="K186" s="222"/>
      <c r="L186" s="222">
        <f t="shared" si="64"/>
        <v>0</v>
      </c>
      <c r="M186" s="224"/>
      <c r="N186" s="222"/>
      <c r="O186" s="222"/>
      <c r="P186" s="222"/>
      <c r="Q186" s="222"/>
      <c r="R186" s="222"/>
      <c r="S186" s="222"/>
      <c r="T186" s="222"/>
      <c r="U186" s="222"/>
      <c r="V186" s="222">
        <f t="shared" si="63"/>
        <v>0</v>
      </c>
      <c r="W186" s="215"/>
    </row>
    <row r="187" spans="1:23" ht="21" x14ac:dyDescent="0.35">
      <c r="A187" s="773"/>
      <c r="B187" s="222" t="s">
        <v>2</v>
      </c>
      <c r="C187" s="222" t="s">
        <v>138</v>
      </c>
      <c r="D187" s="222"/>
      <c r="E187" s="222"/>
      <c r="F187" s="222"/>
      <c r="G187" s="222"/>
      <c r="H187" s="222"/>
      <c r="I187" s="222"/>
      <c r="J187" s="222"/>
      <c r="K187" s="222"/>
      <c r="L187" s="222">
        <f t="shared" si="64"/>
        <v>0</v>
      </c>
      <c r="M187" s="224"/>
      <c r="N187" s="222"/>
      <c r="O187" s="222"/>
      <c r="P187" s="222"/>
      <c r="Q187" s="222"/>
      <c r="R187" s="222"/>
      <c r="S187" s="222"/>
      <c r="T187" s="222"/>
      <c r="U187" s="222"/>
      <c r="V187" s="222">
        <f t="shared" si="63"/>
        <v>0</v>
      </c>
      <c r="W187" s="215"/>
    </row>
    <row r="188" spans="1:23" ht="21" x14ac:dyDescent="0.35">
      <c r="A188" s="773"/>
      <c r="B188" s="222" t="s">
        <v>2</v>
      </c>
      <c r="C188" s="222" t="s">
        <v>167</v>
      </c>
      <c r="D188" s="222"/>
      <c r="E188" s="222"/>
      <c r="F188" s="222"/>
      <c r="G188" s="222"/>
      <c r="H188" s="222"/>
      <c r="I188" s="222"/>
      <c r="J188" s="222"/>
      <c r="K188" s="222"/>
      <c r="L188" s="222">
        <f t="shared" si="64"/>
        <v>0</v>
      </c>
      <c r="M188" s="224"/>
      <c r="N188" s="222"/>
      <c r="O188" s="229"/>
      <c r="P188" s="222"/>
      <c r="Q188" s="222"/>
      <c r="R188" s="222"/>
      <c r="S188" s="222"/>
      <c r="T188" s="222"/>
      <c r="U188" s="222"/>
      <c r="V188" s="222">
        <f t="shared" si="63"/>
        <v>0</v>
      </c>
      <c r="W188" s="215"/>
    </row>
    <row r="189" spans="1:23" ht="21" x14ac:dyDescent="0.35">
      <c r="A189" s="774"/>
      <c r="B189" s="222" t="s">
        <v>2</v>
      </c>
      <c r="C189" s="222" t="s">
        <v>292</v>
      </c>
      <c r="D189" s="222"/>
      <c r="E189" s="222"/>
      <c r="F189" s="222"/>
      <c r="G189" s="222"/>
      <c r="H189" s="222"/>
      <c r="I189" s="222"/>
      <c r="J189" s="222"/>
      <c r="K189" s="222"/>
      <c r="L189" s="222">
        <f t="shared" si="64"/>
        <v>0</v>
      </c>
      <c r="M189" s="224"/>
      <c r="N189" s="222"/>
      <c r="O189" s="229"/>
      <c r="P189" s="222"/>
      <c r="Q189" s="222"/>
      <c r="R189" s="222"/>
      <c r="S189" s="222"/>
      <c r="T189" s="222"/>
      <c r="U189" s="222"/>
      <c r="V189" s="222">
        <f t="shared" si="63"/>
        <v>0</v>
      </c>
      <c r="W189" s="215"/>
    </row>
    <row r="190" spans="1:23" ht="21" x14ac:dyDescent="0.35">
      <c r="A190" s="226" t="s">
        <v>85</v>
      </c>
      <c r="B190" s="227"/>
      <c r="C190" s="227"/>
      <c r="D190" s="227">
        <f t="shared" ref="D190:K190" si="77">SUM(D184:D189)</f>
        <v>0</v>
      </c>
      <c r="E190" s="227">
        <f t="shared" si="77"/>
        <v>0</v>
      </c>
      <c r="F190" s="227">
        <f t="shared" si="77"/>
        <v>0</v>
      </c>
      <c r="G190" s="227">
        <f t="shared" si="77"/>
        <v>0</v>
      </c>
      <c r="H190" s="227">
        <f t="shared" si="77"/>
        <v>0</v>
      </c>
      <c r="I190" s="227">
        <f t="shared" si="77"/>
        <v>0</v>
      </c>
      <c r="J190" s="227">
        <f t="shared" si="77"/>
        <v>0</v>
      </c>
      <c r="K190" s="227">
        <f t="shared" si="77"/>
        <v>0</v>
      </c>
      <c r="L190" s="225">
        <f t="shared" si="64"/>
        <v>0</v>
      </c>
      <c r="M190" s="221"/>
      <c r="N190" s="227">
        <f t="shared" ref="N190:U190" si="78">SUM(N184:N189)</f>
        <v>0</v>
      </c>
      <c r="O190" s="227">
        <f t="shared" si="78"/>
        <v>0</v>
      </c>
      <c r="P190" s="227">
        <f t="shared" si="78"/>
        <v>0</v>
      </c>
      <c r="Q190" s="227">
        <f t="shared" si="78"/>
        <v>0</v>
      </c>
      <c r="R190" s="227">
        <f t="shared" si="78"/>
        <v>0</v>
      </c>
      <c r="S190" s="227">
        <f t="shared" si="78"/>
        <v>0</v>
      </c>
      <c r="T190" s="227">
        <f t="shared" si="78"/>
        <v>0</v>
      </c>
      <c r="U190" s="227">
        <f t="shared" si="78"/>
        <v>0</v>
      </c>
      <c r="V190" s="243">
        <f t="shared" si="63"/>
        <v>0</v>
      </c>
      <c r="W190" s="215"/>
    </row>
    <row r="191" spans="1:23" ht="21" x14ac:dyDescent="0.35">
      <c r="A191" s="772">
        <v>44836</v>
      </c>
      <c r="B191" s="222" t="s">
        <v>2</v>
      </c>
      <c r="C191" s="222" t="s">
        <v>67</v>
      </c>
      <c r="D191" s="222"/>
      <c r="E191" s="222"/>
      <c r="F191" s="222"/>
      <c r="G191" s="222"/>
      <c r="H191" s="222"/>
      <c r="I191" s="222"/>
      <c r="J191" s="222"/>
      <c r="K191" s="222"/>
      <c r="L191" s="222">
        <f t="shared" si="64"/>
        <v>0</v>
      </c>
      <c r="M191" s="224"/>
      <c r="N191" s="222"/>
      <c r="O191" s="222"/>
      <c r="P191" s="222"/>
      <c r="Q191" s="222"/>
      <c r="R191" s="222"/>
      <c r="S191" s="222"/>
      <c r="T191" s="222"/>
      <c r="U191" s="222"/>
      <c r="V191" s="222">
        <f t="shared" si="63"/>
        <v>0</v>
      </c>
      <c r="W191" s="215"/>
    </row>
    <row r="192" spans="1:23" ht="21" x14ac:dyDescent="0.35">
      <c r="A192" s="773"/>
      <c r="B192" s="222" t="s">
        <v>2</v>
      </c>
      <c r="C192" s="222" t="s">
        <v>65</v>
      </c>
      <c r="D192" s="222"/>
      <c r="E192" s="222"/>
      <c r="F192" s="222"/>
      <c r="G192" s="222"/>
      <c r="H192" s="222"/>
      <c r="I192" s="222"/>
      <c r="J192" s="222"/>
      <c r="K192" s="222"/>
      <c r="L192" s="222">
        <f t="shared" si="64"/>
        <v>0</v>
      </c>
      <c r="M192" s="224"/>
      <c r="N192" s="222"/>
      <c r="O192" s="229"/>
      <c r="P192" s="222"/>
      <c r="Q192" s="222"/>
      <c r="R192" s="222"/>
      <c r="S192" s="222"/>
      <c r="T192" s="222"/>
      <c r="U192" s="222"/>
      <c r="V192" s="222">
        <f t="shared" si="63"/>
        <v>0</v>
      </c>
      <c r="W192" s="215"/>
    </row>
    <row r="193" spans="1:23" ht="21" x14ac:dyDescent="0.35">
      <c r="A193" s="773"/>
      <c r="B193" s="222" t="s">
        <v>2</v>
      </c>
      <c r="C193" s="222" t="s">
        <v>74</v>
      </c>
      <c r="D193" s="222"/>
      <c r="E193" s="222"/>
      <c r="F193" s="222"/>
      <c r="G193" s="222"/>
      <c r="H193" s="222"/>
      <c r="I193" s="222"/>
      <c r="J193" s="222"/>
      <c r="K193" s="222"/>
      <c r="L193" s="222">
        <f t="shared" si="64"/>
        <v>0</v>
      </c>
      <c r="M193" s="224"/>
      <c r="N193" s="222"/>
      <c r="O193" s="222"/>
      <c r="P193" s="222"/>
      <c r="Q193" s="222"/>
      <c r="R193" s="222"/>
      <c r="S193" s="222"/>
      <c r="T193" s="222"/>
      <c r="U193" s="222"/>
      <c r="V193" s="222">
        <f t="shared" si="63"/>
        <v>0</v>
      </c>
      <c r="W193" s="215"/>
    </row>
    <row r="194" spans="1:23" ht="21" x14ac:dyDescent="0.35">
      <c r="A194" s="773"/>
      <c r="B194" s="222" t="s">
        <v>2</v>
      </c>
      <c r="C194" s="222" t="s">
        <v>138</v>
      </c>
      <c r="D194" s="222"/>
      <c r="E194" s="222"/>
      <c r="F194" s="222"/>
      <c r="G194" s="222"/>
      <c r="H194" s="222"/>
      <c r="I194" s="222"/>
      <c r="J194" s="222"/>
      <c r="K194" s="222"/>
      <c r="L194" s="222">
        <f t="shared" si="64"/>
        <v>0</v>
      </c>
      <c r="M194" s="224"/>
      <c r="N194" s="222"/>
      <c r="O194" s="222"/>
      <c r="P194" s="222"/>
      <c r="Q194" s="222"/>
      <c r="R194" s="222"/>
      <c r="S194" s="222"/>
      <c r="T194" s="222"/>
      <c r="U194" s="222"/>
      <c r="V194" s="222">
        <f t="shared" si="63"/>
        <v>0</v>
      </c>
      <c r="W194" s="215"/>
    </row>
    <row r="195" spans="1:23" ht="21" x14ac:dyDescent="0.35">
      <c r="A195" s="773"/>
      <c r="B195" s="222" t="s">
        <v>2</v>
      </c>
      <c r="C195" s="222" t="s">
        <v>167</v>
      </c>
      <c r="D195" s="222"/>
      <c r="E195" s="222"/>
      <c r="F195" s="222"/>
      <c r="G195" s="222"/>
      <c r="H195" s="222"/>
      <c r="I195" s="222"/>
      <c r="J195" s="222"/>
      <c r="K195" s="222"/>
      <c r="L195" s="222">
        <f t="shared" si="64"/>
        <v>0</v>
      </c>
      <c r="M195" s="224"/>
      <c r="N195" s="222"/>
      <c r="O195" s="229"/>
      <c r="P195" s="222"/>
      <c r="Q195" s="222"/>
      <c r="R195" s="222"/>
      <c r="S195" s="222"/>
      <c r="T195" s="222"/>
      <c r="U195" s="222"/>
      <c r="V195" s="222">
        <f t="shared" si="63"/>
        <v>0</v>
      </c>
      <c r="W195" s="230"/>
    </row>
    <row r="196" spans="1:23" ht="21" x14ac:dyDescent="0.35">
      <c r="A196" s="774"/>
      <c r="B196" s="222" t="s">
        <v>2</v>
      </c>
      <c r="C196" s="222" t="s">
        <v>292</v>
      </c>
      <c r="D196" s="222"/>
      <c r="E196" s="222"/>
      <c r="F196" s="222"/>
      <c r="G196" s="222"/>
      <c r="H196" s="222"/>
      <c r="I196" s="222"/>
      <c r="J196" s="222"/>
      <c r="K196" s="222"/>
      <c r="L196" s="222">
        <f t="shared" si="64"/>
        <v>0</v>
      </c>
      <c r="M196" s="224"/>
      <c r="N196" s="222"/>
      <c r="O196" s="229"/>
      <c r="P196" s="222"/>
      <c r="Q196" s="222"/>
      <c r="R196" s="222"/>
      <c r="S196" s="222"/>
      <c r="T196" s="222"/>
      <c r="U196" s="222"/>
      <c r="V196" s="222">
        <f t="shared" si="63"/>
        <v>0</v>
      </c>
      <c r="W196" s="230"/>
    </row>
    <row r="197" spans="1:23" ht="21" x14ac:dyDescent="0.35">
      <c r="A197" s="226" t="s">
        <v>86</v>
      </c>
      <c r="B197" s="227"/>
      <c r="C197" s="227"/>
      <c r="D197" s="227">
        <f t="shared" ref="D197:K197" si="79">SUM(D191:D196)</f>
        <v>0</v>
      </c>
      <c r="E197" s="227">
        <f t="shared" si="79"/>
        <v>0</v>
      </c>
      <c r="F197" s="227">
        <f t="shared" si="79"/>
        <v>0</v>
      </c>
      <c r="G197" s="227">
        <f t="shared" si="79"/>
        <v>0</v>
      </c>
      <c r="H197" s="227">
        <f t="shared" si="79"/>
        <v>0</v>
      </c>
      <c r="I197" s="227">
        <f t="shared" si="79"/>
        <v>0</v>
      </c>
      <c r="J197" s="227">
        <f t="shared" si="79"/>
        <v>0</v>
      </c>
      <c r="K197" s="227">
        <f t="shared" si="79"/>
        <v>0</v>
      </c>
      <c r="L197" s="225">
        <f t="shared" si="64"/>
        <v>0</v>
      </c>
      <c r="M197" s="221"/>
      <c r="N197" s="227">
        <f t="shared" ref="N197:U197" si="80">SUM(N191:N196)</f>
        <v>0</v>
      </c>
      <c r="O197" s="227">
        <f t="shared" si="80"/>
        <v>0</v>
      </c>
      <c r="P197" s="227">
        <f t="shared" si="80"/>
        <v>0</v>
      </c>
      <c r="Q197" s="227">
        <f t="shared" si="80"/>
        <v>0</v>
      </c>
      <c r="R197" s="227">
        <f t="shared" si="80"/>
        <v>0</v>
      </c>
      <c r="S197" s="227">
        <f t="shared" si="80"/>
        <v>0</v>
      </c>
      <c r="T197" s="227">
        <f t="shared" si="80"/>
        <v>0</v>
      </c>
      <c r="U197" s="227">
        <f t="shared" si="80"/>
        <v>0</v>
      </c>
      <c r="V197" s="243">
        <f t="shared" si="63"/>
        <v>0</v>
      </c>
      <c r="W197" s="230"/>
    </row>
    <row r="198" spans="1:23" ht="21" x14ac:dyDescent="0.35">
      <c r="A198" s="772">
        <v>44837</v>
      </c>
      <c r="B198" s="222" t="s">
        <v>2</v>
      </c>
      <c r="C198" s="222" t="s">
        <v>67</v>
      </c>
      <c r="D198" s="222"/>
      <c r="E198" s="222"/>
      <c r="F198" s="222"/>
      <c r="G198" s="222"/>
      <c r="H198" s="222"/>
      <c r="I198" s="222"/>
      <c r="J198" s="222"/>
      <c r="K198" s="222"/>
      <c r="L198" s="222">
        <f t="shared" si="64"/>
        <v>0</v>
      </c>
      <c r="M198" s="224"/>
      <c r="N198" s="222"/>
      <c r="O198" s="222"/>
      <c r="P198" s="222"/>
      <c r="Q198" s="222"/>
      <c r="R198" s="222"/>
      <c r="S198" s="222"/>
      <c r="T198" s="222"/>
      <c r="U198" s="222"/>
      <c r="V198" s="222">
        <f t="shared" si="63"/>
        <v>0</v>
      </c>
      <c r="W198" s="230"/>
    </row>
    <row r="199" spans="1:23" ht="21" x14ac:dyDescent="0.35">
      <c r="A199" s="773"/>
      <c r="B199" s="222" t="s">
        <v>2</v>
      </c>
      <c r="C199" s="222" t="s">
        <v>65</v>
      </c>
      <c r="D199" s="222"/>
      <c r="E199" s="222"/>
      <c r="F199" s="222"/>
      <c r="G199" s="222"/>
      <c r="H199" s="222"/>
      <c r="I199" s="222"/>
      <c r="J199" s="222"/>
      <c r="K199" s="222"/>
      <c r="L199" s="222">
        <f t="shared" si="64"/>
        <v>0</v>
      </c>
      <c r="M199" s="224"/>
      <c r="N199" s="222"/>
      <c r="O199" s="222"/>
      <c r="P199" s="222"/>
      <c r="Q199" s="222"/>
      <c r="R199" s="222"/>
      <c r="S199" s="222"/>
      <c r="T199" s="222">
        <v>34070</v>
      </c>
      <c r="U199" s="222"/>
      <c r="V199" s="222">
        <f t="shared" si="63"/>
        <v>34070</v>
      </c>
      <c r="W199" s="230"/>
    </row>
    <row r="200" spans="1:23" ht="21" x14ac:dyDescent="0.35">
      <c r="A200" s="773"/>
      <c r="B200" s="222" t="s">
        <v>2</v>
      </c>
      <c r="C200" s="222" t="s">
        <v>74</v>
      </c>
      <c r="D200" s="222"/>
      <c r="E200" s="222"/>
      <c r="F200" s="222"/>
      <c r="G200" s="222"/>
      <c r="H200" s="222"/>
      <c r="I200" s="222"/>
      <c r="J200" s="222"/>
      <c r="K200" s="222"/>
      <c r="L200" s="222">
        <f t="shared" si="64"/>
        <v>0</v>
      </c>
      <c r="M200" s="224"/>
      <c r="N200" s="222"/>
      <c r="O200" s="222"/>
      <c r="P200" s="222"/>
      <c r="Q200" s="222"/>
      <c r="R200" s="222"/>
      <c r="S200" s="222"/>
      <c r="T200" s="222"/>
      <c r="U200" s="222"/>
      <c r="V200" s="222">
        <f t="shared" si="63"/>
        <v>0</v>
      </c>
      <c r="W200" s="215"/>
    </row>
    <row r="201" spans="1:23" ht="21" x14ac:dyDescent="0.35">
      <c r="A201" s="773"/>
      <c r="B201" s="222" t="s">
        <v>2</v>
      </c>
      <c r="C201" s="222" t="s">
        <v>138</v>
      </c>
      <c r="D201" s="222"/>
      <c r="E201" s="222"/>
      <c r="F201" s="222"/>
      <c r="G201" s="222"/>
      <c r="H201" s="222"/>
      <c r="I201" s="222"/>
      <c r="J201" s="222"/>
      <c r="K201" s="222"/>
      <c r="L201" s="222">
        <f t="shared" si="64"/>
        <v>0</v>
      </c>
      <c r="M201" s="224"/>
      <c r="N201" s="222"/>
      <c r="O201" s="222"/>
      <c r="P201" s="222"/>
      <c r="Q201" s="222"/>
      <c r="R201" s="222"/>
      <c r="S201" s="222"/>
      <c r="T201" s="222"/>
      <c r="U201" s="222"/>
      <c r="V201" s="222">
        <f t="shared" si="63"/>
        <v>0</v>
      </c>
      <c r="W201" s="215"/>
    </row>
    <row r="202" spans="1:23" ht="21" x14ac:dyDescent="0.35">
      <c r="A202" s="773"/>
      <c r="B202" s="222" t="s">
        <v>2</v>
      </c>
      <c r="C202" s="222" t="s">
        <v>167</v>
      </c>
      <c r="D202" s="222"/>
      <c r="E202" s="222"/>
      <c r="F202" s="222"/>
      <c r="G202" s="222"/>
      <c r="H202" s="222"/>
      <c r="I202" s="222"/>
      <c r="J202" s="222"/>
      <c r="K202" s="222"/>
      <c r="L202" s="222">
        <f t="shared" si="64"/>
        <v>0</v>
      </c>
      <c r="M202" s="224"/>
      <c r="N202" s="222"/>
      <c r="O202" s="229"/>
      <c r="P202" s="222"/>
      <c r="Q202" s="222"/>
      <c r="R202" s="222"/>
      <c r="S202" s="222"/>
      <c r="T202" s="222"/>
      <c r="U202" s="222"/>
      <c r="V202" s="222">
        <f t="shared" si="63"/>
        <v>0</v>
      </c>
      <c r="W202" s="215"/>
    </row>
    <row r="203" spans="1:23" ht="21" x14ac:dyDescent="0.35">
      <c r="A203" s="774"/>
      <c r="B203" s="222" t="s">
        <v>2</v>
      </c>
      <c r="C203" s="222" t="s">
        <v>292</v>
      </c>
      <c r="D203" s="222"/>
      <c r="E203" s="222"/>
      <c r="F203" s="222"/>
      <c r="G203" s="222"/>
      <c r="H203" s="222"/>
      <c r="I203" s="222"/>
      <c r="J203" s="222"/>
      <c r="K203" s="222"/>
      <c r="L203" s="222">
        <f t="shared" si="64"/>
        <v>0</v>
      </c>
      <c r="M203" s="224"/>
      <c r="N203" s="222"/>
      <c r="O203" s="229"/>
      <c r="P203" s="222"/>
      <c r="Q203" s="222"/>
      <c r="R203" s="222"/>
      <c r="S203" s="222"/>
      <c r="T203" s="222"/>
      <c r="U203" s="222"/>
      <c r="V203" s="222">
        <f t="shared" si="63"/>
        <v>0</v>
      </c>
      <c r="W203" s="230"/>
    </row>
    <row r="204" spans="1:23" ht="21" x14ac:dyDescent="0.35">
      <c r="A204" s="226" t="s">
        <v>87</v>
      </c>
      <c r="B204" s="227"/>
      <c r="C204" s="227"/>
      <c r="D204" s="227">
        <f t="shared" ref="D204:K204" si="81">SUM(D198:D203)</f>
        <v>0</v>
      </c>
      <c r="E204" s="227">
        <f t="shared" si="81"/>
        <v>0</v>
      </c>
      <c r="F204" s="227">
        <f t="shared" si="81"/>
        <v>0</v>
      </c>
      <c r="G204" s="227">
        <f t="shared" si="81"/>
        <v>0</v>
      </c>
      <c r="H204" s="227">
        <f t="shared" si="81"/>
        <v>0</v>
      </c>
      <c r="I204" s="227">
        <f t="shared" si="81"/>
        <v>0</v>
      </c>
      <c r="J204" s="227">
        <f t="shared" si="81"/>
        <v>0</v>
      </c>
      <c r="K204" s="227">
        <f t="shared" si="81"/>
        <v>0</v>
      </c>
      <c r="L204" s="225">
        <f t="shared" si="64"/>
        <v>0</v>
      </c>
      <c r="M204" s="221"/>
      <c r="N204" s="227">
        <f t="shared" ref="N204:U204" si="82">SUM(N198:N203)</f>
        <v>0</v>
      </c>
      <c r="O204" s="227">
        <f t="shared" si="82"/>
        <v>0</v>
      </c>
      <c r="P204" s="227">
        <f t="shared" si="82"/>
        <v>0</v>
      </c>
      <c r="Q204" s="227">
        <f t="shared" si="82"/>
        <v>0</v>
      </c>
      <c r="R204" s="227">
        <f t="shared" si="82"/>
        <v>0</v>
      </c>
      <c r="S204" s="227">
        <f t="shared" si="82"/>
        <v>0</v>
      </c>
      <c r="T204" s="227">
        <f t="shared" si="82"/>
        <v>34070</v>
      </c>
      <c r="U204" s="227">
        <f t="shared" si="82"/>
        <v>0</v>
      </c>
      <c r="V204" s="243">
        <f t="shared" si="63"/>
        <v>34070</v>
      </c>
      <c r="W204" s="215"/>
    </row>
    <row r="205" spans="1:23" ht="21" x14ac:dyDescent="0.35">
      <c r="A205" s="778">
        <v>44838</v>
      </c>
      <c r="B205" s="229" t="s">
        <v>2</v>
      </c>
      <c r="C205" s="229" t="s">
        <v>67</v>
      </c>
      <c r="D205" s="229"/>
      <c r="E205" s="229"/>
      <c r="F205" s="229"/>
      <c r="G205" s="229"/>
      <c r="H205" s="229"/>
      <c r="I205" s="229"/>
      <c r="J205" s="229"/>
      <c r="K205" s="229"/>
      <c r="L205" s="222">
        <f t="shared" si="64"/>
        <v>0</v>
      </c>
      <c r="M205" s="224"/>
      <c r="N205" s="229">
        <v>118480</v>
      </c>
      <c r="O205" s="229"/>
      <c r="P205" s="229"/>
      <c r="Q205" s="229"/>
      <c r="R205" s="229"/>
      <c r="S205" s="229"/>
      <c r="T205" s="229"/>
      <c r="U205" s="229"/>
      <c r="V205" s="222">
        <f t="shared" si="63"/>
        <v>118480</v>
      </c>
      <c r="W205" s="215"/>
    </row>
    <row r="206" spans="1:23" ht="21" x14ac:dyDescent="0.35">
      <c r="A206" s="779"/>
      <c r="B206" s="229" t="s">
        <v>2</v>
      </c>
      <c r="C206" s="229" t="s">
        <v>65</v>
      </c>
      <c r="D206" s="229"/>
      <c r="E206" s="229"/>
      <c r="F206" s="229"/>
      <c r="G206" s="229"/>
      <c r="H206" s="229"/>
      <c r="I206" s="229"/>
      <c r="J206" s="229"/>
      <c r="K206" s="229"/>
      <c r="L206" s="222">
        <f t="shared" si="64"/>
        <v>0</v>
      </c>
      <c r="M206" s="224"/>
      <c r="N206" s="229"/>
      <c r="O206" s="229"/>
      <c r="P206" s="229"/>
      <c r="Q206" s="229"/>
      <c r="R206" s="229"/>
      <c r="S206" s="229"/>
      <c r="T206" s="229"/>
      <c r="U206" s="229"/>
      <c r="V206" s="222">
        <f t="shared" si="63"/>
        <v>0</v>
      </c>
      <c r="W206" s="215"/>
    </row>
    <row r="207" spans="1:23" ht="21" x14ac:dyDescent="0.35">
      <c r="A207" s="779"/>
      <c r="B207" s="229" t="s">
        <v>2</v>
      </c>
      <c r="C207" s="229" t="s">
        <v>74</v>
      </c>
      <c r="D207" s="229"/>
      <c r="E207" s="229"/>
      <c r="F207" s="229"/>
      <c r="G207" s="229"/>
      <c r="H207" s="229"/>
      <c r="I207" s="229"/>
      <c r="J207" s="229"/>
      <c r="K207" s="229"/>
      <c r="L207" s="222">
        <f t="shared" ref="L207:L270" si="83">SUM(D207:K207)</f>
        <v>0</v>
      </c>
      <c r="M207" s="224"/>
      <c r="N207" s="229"/>
      <c r="O207" s="229"/>
      <c r="P207" s="229"/>
      <c r="Q207" s="229"/>
      <c r="R207" s="229"/>
      <c r="S207" s="229"/>
      <c r="T207" s="229"/>
      <c r="U207" s="229"/>
      <c r="V207" s="222">
        <f t="shared" ref="V207:V270" si="84">SUM(N207:U207)</f>
        <v>0</v>
      </c>
      <c r="W207" s="215"/>
    </row>
    <row r="208" spans="1:23" ht="21" x14ac:dyDescent="0.35">
      <c r="A208" s="779"/>
      <c r="B208" s="229" t="s">
        <v>2</v>
      </c>
      <c r="C208" s="229" t="s">
        <v>138</v>
      </c>
      <c r="D208" s="229"/>
      <c r="E208" s="229"/>
      <c r="F208" s="229"/>
      <c r="G208" s="229"/>
      <c r="H208" s="229"/>
      <c r="I208" s="229"/>
      <c r="J208" s="229"/>
      <c r="K208" s="229"/>
      <c r="L208" s="222">
        <f t="shared" si="83"/>
        <v>0</v>
      </c>
      <c r="M208" s="224"/>
      <c r="N208" s="229"/>
      <c r="O208" s="229"/>
      <c r="P208" s="229"/>
      <c r="Q208" s="229"/>
      <c r="R208" s="229"/>
      <c r="S208" s="229"/>
      <c r="T208" s="229"/>
      <c r="U208" s="229"/>
      <c r="V208" s="222">
        <f t="shared" si="84"/>
        <v>0</v>
      </c>
      <c r="W208" s="215"/>
    </row>
    <row r="209" spans="1:23" ht="21" x14ac:dyDescent="0.35">
      <c r="A209" s="779"/>
      <c r="B209" s="229" t="s">
        <v>2</v>
      </c>
      <c r="C209" s="229" t="s">
        <v>167</v>
      </c>
      <c r="D209" s="229"/>
      <c r="E209" s="229"/>
      <c r="F209" s="229"/>
      <c r="G209" s="229"/>
      <c r="H209" s="229"/>
      <c r="I209" s="229"/>
      <c r="J209" s="229"/>
      <c r="K209" s="229"/>
      <c r="L209" s="222">
        <f t="shared" si="83"/>
        <v>0</v>
      </c>
      <c r="M209" s="224"/>
      <c r="N209" s="229"/>
      <c r="O209" s="229"/>
      <c r="P209" s="229"/>
      <c r="Q209" s="229"/>
      <c r="R209" s="229"/>
      <c r="S209" s="229"/>
      <c r="T209" s="229"/>
      <c r="U209" s="229"/>
      <c r="V209" s="222">
        <f t="shared" si="84"/>
        <v>0</v>
      </c>
      <c r="W209" s="215"/>
    </row>
    <row r="210" spans="1:23" ht="21" x14ac:dyDescent="0.35">
      <c r="A210" s="780"/>
      <c r="B210" s="229" t="s">
        <v>2</v>
      </c>
      <c r="C210" s="222" t="s">
        <v>292</v>
      </c>
      <c r="D210" s="229"/>
      <c r="E210" s="229"/>
      <c r="F210" s="229"/>
      <c r="G210" s="229"/>
      <c r="H210" s="229"/>
      <c r="I210" s="229"/>
      <c r="J210" s="229"/>
      <c r="K210" s="229"/>
      <c r="L210" s="222">
        <f t="shared" si="83"/>
        <v>0</v>
      </c>
      <c r="M210" s="224"/>
      <c r="N210" s="229"/>
      <c r="O210" s="229"/>
      <c r="P210" s="229"/>
      <c r="Q210" s="229"/>
      <c r="R210" s="229"/>
      <c r="S210" s="229"/>
      <c r="T210" s="229"/>
      <c r="U210" s="229"/>
      <c r="V210" s="222">
        <f t="shared" si="84"/>
        <v>0</v>
      </c>
      <c r="W210" s="215"/>
    </row>
    <row r="211" spans="1:23" ht="21" x14ac:dyDescent="0.35">
      <c r="A211" s="226" t="s">
        <v>88</v>
      </c>
      <c r="B211" s="227"/>
      <c r="C211" s="227"/>
      <c r="D211" s="227">
        <f t="shared" ref="D211:K211" si="85">SUM(D205:D210)</f>
        <v>0</v>
      </c>
      <c r="E211" s="227">
        <f t="shared" si="85"/>
        <v>0</v>
      </c>
      <c r="F211" s="227">
        <f t="shared" si="85"/>
        <v>0</v>
      </c>
      <c r="G211" s="227">
        <f t="shared" si="85"/>
        <v>0</v>
      </c>
      <c r="H211" s="227">
        <f t="shared" si="85"/>
        <v>0</v>
      </c>
      <c r="I211" s="227">
        <f t="shared" si="85"/>
        <v>0</v>
      </c>
      <c r="J211" s="227">
        <f t="shared" si="85"/>
        <v>0</v>
      </c>
      <c r="K211" s="227">
        <f t="shared" si="85"/>
        <v>0</v>
      </c>
      <c r="L211" s="225">
        <f t="shared" si="83"/>
        <v>0</v>
      </c>
      <c r="M211" s="221"/>
      <c r="N211" s="227">
        <f t="shared" ref="N211:U211" si="86">SUM(N205:N210)</f>
        <v>118480</v>
      </c>
      <c r="O211" s="227">
        <f t="shared" si="86"/>
        <v>0</v>
      </c>
      <c r="P211" s="227">
        <f t="shared" si="86"/>
        <v>0</v>
      </c>
      <c r="Q211" s="227">
        <f t="shared" si="86"/>
        <v>0</v>
      </c>
      <c r="R211" s="227">
        <f t="shared" si="86"/>
        <v>0</v>
      </c>
      <c r="S211" s="227">
        <f t="shared" si="86"/>
        <v>0</v>
      </c>
      <c r="T211" s="227">
        <f t="shared" si="86"/>
        <v>0</v>
      </c>
      <c r="U211" s="227">
        <f t="shared" si="86"/>
        <v>0</v>
      </c>
      <c r="V211" s="243">
        <f t="shared" si="84"/>
        <v>118480</v>
      </c>
      <c r="W211" s="215"/>
    </row>
    <row r="212" spans="1:23" ht="21" x14ac:dyDescent="0.35">
      <c r="A212" s="772">
        <v>44839</v>
      </c>
      <c r="B212" s="222" t="s">
        <v>2</v>
      </c>
      <c r="C212" s="222" t="s">
        <v>67</v>
      </c>
      <c r="D212" s="222"/>
      <c r="E212" s="222"/>
      <c r="F212" s="222"/>
      <c r="G212" s="222"/>
      <c r="H212" s="222"/>
      <c r="I212" s="222"/>
      <c r="J212" s="222"/>
      <c r="K212" s="222"/>
      <c r="L212" s="222">
        <f t="shared" si="83"/>
        <v>0</v>
      </c>
      <c r="M212" s="224"/>
      <c r="N212" s="222"/>
      <c r="O212" s="222"/>
      <c r="P212" s="222"/>
      <c r="Q212" s="222"/>
      <c r="R212" s="222"/>
      <c r="S212" s="222"/>
      <c r="T212" s="222"/>
      <c r="U212" s="222"/>
      <c r="V212" s="222">
        <f t="shared" si="84"/>
        <v>0</v>
      </c>
      <c r="W212" s="215"/>
    </row>
    <row r="213" spans="1:23" ht="21" x14ac:dyDescent="0.35">
      <c r="A213" s="773"/>
      <c r="B213" s="222" t="s">
        <v>2</v>
      </c>
      <c r="C213" s="222" t="s">
        <v>65</v>
      </c>
      <c r="D213" s="222"/>
      <c r="E213" s="222"/>
      <c r="F213" s="222">
        <v>124280</v>
      </c>
      <c r="G213" s="222"/>
      <c r="H213" s="222"/>
      <c r="I213" s="222">
        <v>185960</v>
      </c>
      <c r="J213" s="222">
        <v>102940</v>
      </c>
      <c r="K213" s="222"/>
      <c r="L213" s="222">
        <f t="shared" si="83"/>
        <v>413180</v>
      </c>
      <c r="M213" s="224"/>
      <c r="N213" s="222"/>
      <c r="O213" s="222"/>
      <c r="P213" s="222"/>
      <c r="Q213" s="222"/>
      <c r="R213" s="222"/>
      <c r="S213" s="222"/>
      <c r="T213" s="222"/>
      <c r="U213" s="222"/>
      <c r="V213" s="222">
        <f t="shared" si="84"/>
        <v>0</v>
      </c>
      <c r="W213" s="215"/>
    </row>
    <row r="214" spans="1:23" ht="21" x14ac:dyDescent="0.35">
      <c r="A214" s="773"/>
      <c r="B214" s="222" t="s">
        <v>2</v>
      </c>
      <c r="C214" s="222" t="s">
        <v>74</v>
      </c>
      <c r="D214" s="222"/>
      <c r="E214" s="222"/>
      <c r="F214" s="222"/>
      <c r="G214" s="222"/>
      <c r="H214" s="222"/>
      <c r="I214" s="222"/>
      <c r="J214" s="222"/>
      <c r="K214" s="222"/>
      <c r="L214" s="222">
        <f t="shared" si="83"/>
        <v>0</v>
      </c>
      <c r="M214" s="224"/>
      <c r="N214" s="222"/>
      <c r="O214" s="222"/>
      <c r="P214" s="222"/>
      <c r="Q214" s="222"/>
      <c r="R214" s="222"/>
      <c r="S214" s="222"/>
      <c r="T214" s="222"/>
      <c r="U214" s="222"/>
      <c r="V214" s="222">
        <f t="shared" si="84"/>
        <v>0</v>
      </c>
      <c r="W214" s="215"/>
    </row>
    <row r="215" spans="1:23" ht="21" x14ac:dyDescent="0.35">
      <c r="A215" s="773"/>
      <c r="B215" s="222" t="s">
        <v>2</v>
      </c>
      <c r="C215" s="222" t="s">
        <v>138</v>
      </c>
      <c r="D215" s="222"/>
      <c r="E215" s="222"/>
      <c r="F215" s="222"/>
      <c r="G215" s="222"/>
      <c r="H215" s="222"/>
      <c r="I215" s="222"/>
      <c r="J215" s="222"/>
      <c r="K215" s="222"/>
      <c r="L215" s="222">
        <f t="shared" si="83"/>
        <v>0</v>
      </c>
      <c r="M215" s="224"/>
      <c r="N215" s="222"/>
      <c r="O215" s="222"/>
      <c r="P215" s="222"/>
      <c r="Q215" s="222"/>
      <c r="R215" s="222"/>
      <c r="S215" s="222"/>
      <c r="T215" s="222"/>
      <c r="U215" s="222"/>
      <c r="V215" s="222">
        <f t="shared" si="84"/>
        <v>0</v>
      </c>
      <c r="W215" s="215"/>
    </row>
    <row r="216" spans="1:23" ht="21" x14ac:dyDescent="0.35">
      <c r="A216" s="773"/>
      <c r="B216" s="222" t="s">
        <v>2</v>
      </c>
      <c r="C216" s="222" t="s">
        <v>167</v>
      </c>
      <c r="D216" s="222"/>
      <c r="E216" s="222"/>
      <c r="F216" s="222"/>
      <c r="G216" s="222"/>
      <c r="H216" s="222"/>
      <c r="I216" s="222"/>
      <c r="J216" s="222"/>
      <c r="K216" s="222"/>
      <c r="L216" s="222">
        <f t="shared" si="83"/>
        <v>0</v>
      </c>
      <c r="M216" s="224"/>
      <c r="N216" s="222"/>
      <c r="O216" s="229"/>
      <c r="P216" s="222"/>
      <c r="Q216" s="222"/>
      <c r="R216" s="222"/>
      <c r="S216" s="222"/>
      <c r="T216" s="222"/>
      <c r="U216" s="222"/>
      <c r="V216" s="222">
        <f t="shared" si="84"/>
        <v>0</v>
      </c>
      <c r="W216" s="215"/>
    </row>
    <row r="217" spans="1:23" ht="21" x14ac:dyDescent="0.35">
      <c r="A217" s="774"/>
      <c r="B217" s="222" t="s">
        <v>2</v>
      </c>
      <c r="C217" s="222" t="s">
        <v>292</v>
      </c>
      <c r="D217" s="222"/>
      <c r="E217" s="222"/>
      <c r="F217" s="222"/>
      <c r="G217" s="222"/>
      <c r="H217" s="222"/>
      <c r="I217" s="222"/>
      <c r="J217" s="222"/>
      <c r="K217" s="222"/>
      <c r="L217" s="222">
        <f t="shared" si="83"/>
        <v>0</v>
      </c>
      <c r="M217" s="224"/>
      <c r="N217" s="222"/>
      <c r="O217" s="229"/>
      <c r="P217" s="222"/>
      <c r="Q217" s="222"/>
      <c r="R217" s="222"/>
      <c r="S217" s="222"/>
      <c r="T217" s="222"/>
      <c r="U217" s="222"/>
      <c r="V217" s="222">
        <f t="shared" si="84"/>
        <v>0</v>
      </c>
      <c r="W217" s="215"/>
    </row>
    <row r="218" spans="1:23" ht="21" x14ac:dyDescent="0.35">
      <c r="A218" s="226" t="s">
        <v>89</v>
      </c>
      <c r="B218" s="227"/>
      <c r="C218" s="227"/>
      <c r="D218" s="227">
        <f t="shared" ref="D218:K218" si="87">SUM(D212:D217)</f>
        <v>0</v>
      </c>
      <c r="E218" s="227">
        <f t="shared" si="87"/>
        <v>0</v>
      </c>
      <c r="F218" s="227">
        <f t="shared" si="87"/>
        <v>124280</v>
      </c>
      <c r="G218" s="227">
        <f t="shared" si="87"/>
        <v>0</v>
      </c>
      <c r="H218" s="227">
        <f t="shared" si="87"/>
        <v>0</v>
      </c>
      <c r="I218" s="227">
        <f t="shared" si="87"/>
        <v>185960</v>
      </c>
      <c r="J218" s="227">
        <f t="shared" si="87"/>
        <v>102940</v>
      </c>
      <c r="K218" s="227">
        <f t="shared" si="87"/>
        <v>0</v>
      </c>
      <c r="L218" s="225">
        <f t="shared" si="83"/>
        <v>413180</v>
      </c>
      <c r="M218" s="221"/>
      <c r="N218" s="227">
        <f t="shared" ref="N218:U218" si="88">SUM(N212:N217)</f>
        <v>0</v>
      </c>
      <c r="O218" s="227">
        <f t="shared" si="88"/>
        <v>0</v>
      </c>
      <c r="P218" s="227">
        <f t="shared" si="88"/>
        <v>0</v>
      </c>
      <c r="Q218" s="227">
        <f t="shared" si="88"/>
        <v>0</v>
      </c>
      <c r="R218" s="227">
        <f t="shared" si="88"/>
        <v>0</v>
      </c>
      <c r="S218" s="227">
        <f t="shared" si="88"/>
        <v>0</v>
      </c>
      <c r="T218" s="227">
        <f t="shared" si="88"/>
        <v>0</v>
      </c>
      <c r="U218" s="227">
        <f t="shared" si="88"/>
        <v>0</v>
      </c>
      <c r="V218" s="247">
        <f t="shared" si="84"/>
        <v>0</v>
      </c>
      <c r="W218" s="215"/>
    </row>
    <row r="219" spans="1:23" ht="21" x14ac:dyDescent="0.35">
      <c r="A219" s="778">
        <v>44840</v>
      </c>
      <c r="B219" s="229" t="s">
        <v>2</v>
      </c>
      <c r="C219" s="229" t="s">
        <v>67</v>
      </c>
      <c r="D219" s="229"/>
      <c r="E219" s="229"/>
      <c r="F219" s="229"/>
      <c r="G219" s="229"/>
      <c r="H219" s="229"/>
      <c r="I219" s="229"/>
      <c r="J219" s="229"/>
      <c r="K219" s="229"/>
      <c r="L219" s="222">
        <f t="shared" si="83"/>
        <v>0</v>
      </c>
      <c r="M219" s="224"/>
      <c r="N219" s="229">
        <f>33740+30510</f>
        <v>64250</v>
      </c>
      <c r="O219" s="229"/>
      <c r="P219" s="229"/>
      <c r="Q219" s="229"/>
      <c r="R219" s="229"/>
      <c r="S219" s="229"/>
      <c r="T219" s="229"/>
      <c r="U219" s="229"/>
      <c r="V219" s="222">
        <f t="shared" si="84"/>
        <v>64250</v>
      </c>
      <c r="W219" s="215"/>
    </row>
    <row r="220" spans="1:23" ht="21" x14ac:dyDescent="0.35">
      <c r="A220" s="779"/>
      <c r="B220" s="229" t="s">
        <v>2</v>
      </c>
      <c r="C220" s="229" t="s">
        <v>65</v>
      </c>
      <c r="D220" s="229"/>
      <c r="E220" s="229"/>
      <c r="F220" s="229">
        <f>126290+149990</f>
        <v>276280</v>
      </c>
      <c r="G220" s="229"/>
      <c r="H220" s="229"/>
      <c r="I220" s="229">
        <f>133380+104250</f>
        <v>237630</v>
      </c>
      <c r="J220" s="229">
        <f>131090+159090</f>
        <v>290180</v>
      </c>
      <c r="K220" s="229"/>
      <c r="L220" s="222">
        <f t="shared" si="83"/>
        <v>804090</v>
      </c>
      <c r="M220" s="224"/>
      <c r="N220" s="229"/>
      <c r="O220" s="229"/>
      <c r="P220" s="229"/>
      <c r="Q220" s="229"/>
      <c r="R220" s="229"/>
      <c r="S220" s="229"/>
      <c r="T220" s="229">
        <v>32060</v>
      </c>
      <c r="U220" s="229"/>
      <c r="V220" s="222">
        <f t="shared" si="84"/>
        <v>32060</v>
      </c>
      <c r="W220" s="215"/>
    </row>
    <row r="221" spans="1:23" ht="21" x14ac:dyDescent="0.35">
      <c r="A221" s="779"/>
      <c r="B221" s="229" t="s">
        <v>2</v>
      </c>
      <c r="C221" s="229" t="s">
        <v>74</v>
      </c>
      <c r="D221" s="229"/>
      <c r="E221" s="229"/>
      <c r="F221" s="229"/>
      <c r="G221" s="229"/>
      <c r="H221" s="229"/>
      <c r="I221" s="229"/>
      <c r="J221" s="229"/>
      <c r="K221" s="229"/>
      <c r="L221" s="222">
        <f t="shared" si="83"/>
        <v>0</v>
      </c>
      <c r="M221" s="224"/>
      <c r="N221" s="229"/>
      <c r="O221" s="229"/>
      <c r="P221" s="229"/>
      <c r="Q221" s="229"/>
      <c r="R221" s="229"/>
      <c r="S221" s="229"/>
      <c r="T221" s="229"/>
      <c r="U221" s="229"/>
      <c r="V221" s="222">
        <f t="shared" si="84"/>
        <v>0</v>
      </c>
      <c r="W221" s="215"/>
    </row>
    <row r="222" spans="1:23" ht="21" x14ac:dyDescent="0.35">
      <c r="A222" s="779"/>
      <c r="B222" s="229" t="s">
        <v>2</v>
      </c>
      <c r="C222" s="229" t="s">
        <v>138</v>
      </c>
      <c r="D222" s="229"/>
      <c r="E222" s="229"/>
      <c r="F222" s="229"/>
      <c r="G222" s="229"/>
      <c r="H222" s="229"/>
      <c r="I222" s="229"/>
      <c r="J222" s="229"/>
      <c r="K222" s="229"/>
      <c r="L222" s="222">
        <f t="shared" si="83"/>
        <v>0</v>
      </c>
      <c r="M222" s="224"/>
      <c r="N222" s="229"/>
      <c r="O222" s="229"/>
      <c r="P222" s="229"/>
      <c r="Q222" s="229"/>
      <c r="R222" s="229"/>
      <c r="S222" s="229"/>
      <c r="T222" s="229"/>
      <c r="U222" s="229"/>
      <c r="V222" s="222">
        <f t="shared" si="84"/>
        <v>0</v>
      </c>
      <c r="W222" s="215"/>
    </row>
    <row r="223" spans="1:23" ht="21" x14ac:dyDescent="0.35">
      <c r="A223" s="779"/>
      <c r="B223" s="229" t="s">
        <v>2</v>
      </c>
      <c r="C223" s="229" t="s">
        <v>167</v>
      </c>
      <c r="D223" s="229"/>
      <c r="E223" s="229"/>
      <c r="F223" s="229"/>
      <c r="G223" s="229"/>
      <c r="H223" s="229"/>
      <c r="I223" s="229"/>
      <c r="J223" s="229"/>
      <c r="K223" s="229"/>
      <c r="L223" s="222">
        <f t="shared" si="83"/>
        <v>0</v>
      </c>
      <c r="M223" s="224"/>
      <c r="N223" s="229"/>
      <c r="O223" s="229"/>
      <c r="P223" s="229"/>
      <c r="Q223" s="229"/>
      <c r="R223" s="229"/>
      <c r="S223" s="229"/>
      <c r="T223" s="229"/>
      <c r="U223" s="229"/>
      <c r="V223" s="222">
        <f t="shared" si="84"/>
        <v>0</v>
      </c>
      <c r="W223" s="215"/>
    </row>
    <row r="224" spans="1:23" ht="21" x14ac:dyDescent="0.35">
      <c r="A224" s="780"/>
      <c r="B224" s="229" t="s">
        <v>2</v>
      </c>
      <c r="C224" s="222" t="s">
        <v>292</v>
      </c>
      <c r="D224" s="229"/>
      <c r="E224" s="229"/>
      <c r="F224" s="229"/>
      <c r="G224" s="229"/>
      <c r="H224" s="229"/>
      <c r="I224" s="229"/>
      <c r="J224" s="229"/>
      <c r="K224" s="229"/>
      <c r="L224" s="222">
        <f t="shared" si="83"/>
        <v>0</v>
      </c>
      <c r="M224" s="224"/>
      <c r="N224" s="229"/>
      <c r="O224" s="229"/>
      <c r="P224" s="229"/>
      <c r="Q224" s="229"/>
      <c r="R224" s="229"/>
      <c r="S224" s="229"/>
      <c r="T224" s="229"/>
      <c r="U224" s="229"/>
      <c r="V224" s="222">
        <f t="shared" si="84"/>
        <v>0</v>
      </c>
      <c r="W224" s="215"/>
    </row>
    <row r="225" spans="1:23" ht="21" x14ac:dyDescent="0.35">
      <c r="A225" s="226" t="s">
        <v>90</v>
      </c>
      <c r="B225" s="227"/>
      <c r="C225" s="227"/>
      <c r="D225" s="227">
        <f t="shared" ref="D225:K225" si="89">SUM(D219:D224)</f>
        <v>0</v>
      </c>
      <c r="E225" s="227">
        <f t="shared" si="89"/>
        <v>0</v>
      </c>
      <c r="F225" s="227">
        <f t="shared" si="89"/>
        <v>276280</v>
      </c>
      <c r="G225" s="227">
        <f t="shared" si="89"/>
        <v>0</v>
      </c>
      <c r="H225" s="227">
        <f t="shared" si="89"/>
        <v>0</v>
      </c>
      <c r="I225" s="227">
        <f t="shared" si="89"/>
        <v>237630</v>
      </c>
      <c r="J225" s="227">
        <f t="shared" si="89"/>
        <v>290180</v>
      </c>
      <c r="K225" s="227">
        <f t="shared" si="89"/>
        <v>0</v>
      </c>
      <c r="L225" s="225">
        <f t="shared" si="83"/>
        <v>804090</v>
      </c>
      <c r="M225" s="221"/>
      <c r="N225" s="227">
        <f t="shared" ref="N225:U225" si="90">SUM(N219:N224)</f>
        <v>64250</v>
      </c>
      <c r="O225" s="227">
        <f t="shared" si="90"/>
        <v>0</v>
      </c>
      <c r="P225" s="227">
        <f t="shared" si="90"/>
        <v>0</v>
      </c>
      <c r="Q225" s="227">
        <f t="shared" si="90"/>
        <v>0</v>
      </c>
      <c r="R225" s="227">
        <f t="shared" si="90"/>
        <v>0</v>
      </c>
      <c r="S225" s="227">
        <f t="shared" si="90"/>
        <v>0</v>
      </c>
      <c r="T225" s="227">
        <f t="shared" si="90"/>
        <v>32060</v>
      </c>
      <c r="U225" s="227">
        <f t="shared" si="90"/>
        <v>0</v>
      </c>
      <c r="V225" s="247">
        <f t="shared" si="84"/>
        <v>96310</v>
      </c>
      <c r="W225" s="215"/>
    </row>
    <row r="226" spans="1:23" ht="21" x14ac:dyDescent="0.35">
      <c r="A226" s="772">
        <v>44841</v>
      </c>
      <c r="B226" s="222" t="s">
        <v>2</v>
      </c>
      <c r="C226" s="222" t="s">
        <v>67</v>
      </c>
      <c r="D226" s="222"/>
      <c r="E226" s="245"/>
      <c r="F226" s="222"/>
      <c r="G226" s="245"/>
      <c r="H226" s="245"/>
      <c r="I226" s="222"/>
      <c r="J226" s="222"/>
      <c r="K226" s="222"/>
      <c r="L226" s="222">
        <f t="shared" si="83"/>
        <v>0</v>
      </c>
      <c r="M226" s="224"/>
      <c r="N226" s="222"/>
      <c r="O226" s="229"/>
      <c r="P226" s="222"/>
      <c r="Q226" s="222"/>
      <c r="R226" s="222"/>
      <c r="S226" s="222"/>
      <c r="T226" s="222"/>
      <c r="U226" s="245"/>
      <c r="V226" s="222">
        <f t="shared" si="84"/>
        <v>0</v>
      </c>
      <c r="W226" s="215"/>
    </row>
    <row r="227" spans="1:23" ht="21" x14ac:dyDescent="0.35">
      <c r="A227" s="773"/>
      <c r="B227" s="229" t="s">
        <v>2</v>
      </c>
      <c r="C227" s="229" t="s">
        <v>65</v>
      </c>
      <c r="D227" s="535"/>
      <c r="E227" s="229"/>
      <c r="F227" s="229">
        <v>101620</v>
      </c>
      <c r="G227" s="229"/>
      <c r="H227" s="229"/>
      <c r="I227" s="229"/>
      <c r="J227" s="229">
        <v>131540</v>
      </c>
      <c r="K227" s="535"/>
      <c r="L227" s="222">
        <f t="shared" si="83"/>
        <v>233160</v>
      </c>
      <c r="M227" s="224"/>
      <c r="N227" s="222"/>
      <c r="O227" s="229"/>
      <c r="P227" s="229"/>
      <c r="Q227" s="229"/>
      <c r="R227" s="229"/>
      <c r="S227" s="229"/>
      <c r="T227" s="229"/>
      <c r="U227" s="535"/>
      <c r="V227" s="222">
        <f t="shared" si="84"/>
        <v>0</v>
      </c>
      <c r="W227" s="215"/>
    </row>
    <row r="228" spans="1:23" ht="21" x14ac:dyDescent="0.35">
      <c r="A228" s="773"/>
      <c r="B228" s="222" t="s">
        <v>2</v>
      </c>
      <c r="C228" s="222" t="s">
        <v>74</v>
      </c>
      <c r="D228" s="222"/>
      <c r="E228" s="245"/>
      <c r="F228" s="222"/>
      <c r="G228" s="222"/>
      <c r="H228" s="222"/>
      <c r="I228" s="245"/>
      <c r="J228" s="222"/>
      <c r="K228" s="222"/>
      <c r="L228" s="222">
        <f t="shared" si="83"/>
        <v>0</v>
      </c>
      <c r="M228" s="224"/>
      <c r="N228" s="222"/>
      <c r="O228" s="222"/>
      <c r="P228" s="222"/>
      <c r="Q228" s="222"/>
      <c r="R228" s="222"/>
      <c r="S228" s="222"/>
      <c r="T228" s="222"/>
      <c r="U228" s="245"/>
      <c r="V228" s="222">
        <f t="shared" si="84"/>
        <v>0</v>
      </c>
      <c r="W228" s="215"/>
    </row>
    <row r="229" spans="1:23" ht="21" x14ac:dyDescent="0.35">
      <c r="A229" s="773"/>
      <c r="B229" s="222" t="s">
        <v>2</v>
      </c>
      <c r="C229" s="222" t="s">
        <v>138</v>
      </c>
      <c r="D229" s="222"/>
      <c r="E229" s="222"/>
      <c r="F229" s="222"/>
      <c r="G229" s="222"/>
      <c r="H229" s="222"/>
      <c r="I229" s="222"/>
      <c r="J229" s="222"/>
      <c r="K229" s="222"/>
      <c r="L229" s="222">
        <f t="shared" si="83"/>
        <v>0</v>
      </c>
      <c r="M229" s="224"/>
      <c r="N229" s="222"/>
      <c r="O229" s="222"/>
      <c r="P229" s="222"/>
      <c r="Q229" s="222"/>
      <c r="R229" s="222"/>
      <c r="S229" s="222"/>
      <c r="T229" s="222"/>
      <c r="U229" s="222"/>
      <c r="V229" s="222">
        <f t="shared" si="84"/>
        <v>0</v>
      </c>
      <c r="W229" s="215"/>
    </row>
    <row r="230" spans="1:23" ht="21" x14ac:dyDescent="0.35">
      <c r="A230" s="773"/>
      <c r="B230" s="222" t="s">
        <v>2</v>
      </c>
      <c r="C230" s="222" t="s">
        <v>167</v>
      </c>
      <c r="D230" s="222"/>
      <c r="E230" s="222"/>
      <c r="F230" s="222"/>
      <c r="G230" s="222"/>
      <c r="H230" s="222"/>
      <c r="I230" s="222"/>
      <c r="J230" s="222"/>
      <c r="K230" s="222"/>
      <c r="L230" s="222">
        <f t="shared" si="83"/>
        <v>0</v>
      </c>
      <c r="M230" s="224"/>
      <c r="N230" s="222"/>
      <c r="O230" s="222"/>
      <c r="P230" s="222"/>
      <c r="Q230" s="222"/>
      <c r="R230" s="222"/>
      <c r="S230" s="222"/>
      <c r="T230" s="222"/>
      <c r="U230" s="222"/>
      <c r="V230" s="222">
        <f t="shared" si="84"/>
        <v>0</v>
      </c>
      <c r="W230" s="215"/>
    </row>
    <row r="231" spans="1:23" ht="21" x14ac:dyDescent="0.35">
      <c r="A231" s="774"/>
      <c r="B231" s="222" t="s">
        <v>2</v>
      </c>
      <c r="C231" s="222" t="s">
        <v>292</v>
      </c>
      <c r="D231" s="222"/>
      <c r="E231" s="222"/>
      <c r="F231" s="222"/>
      <c r="G231" s="222"/>
      <c r="H231" s="222"/>
      <c r="I231" s="222"/>
      <c r="J231" s="222"/>
      <c r="K231" s="222"/>
      <c r="L231" s="222">
        <f t="shared" si="83"/>
        <v>0</v>
      </c>
      <c r="M231" s="224"/>
      <c r="N231" s="222"/>
      <c r="O231" s="229"/>
      <c r="P231" s="222"/>
      <c r="Q231" s="222"/>
      <c r="R231" s="222"/>
      <c r="S231" s="222"/>
      <c r="T231" s="222"/>
      <c r="U231" s="222"/>
      <c r="V231" s="222">
        <f t="shared" si="84"/>
        <v>0</v>
      </c>
      <c r="W231" s="215"/>
    </row>
    <row r="232" spans="1:23" ht="21" x14ac:dyDescent="0.35">
      <c r="A232" s="226" t="s">
        <v>91</v>
      </c>
      <c r="B232" s="227"/>
      <c r="C232" s="227"/>
      <c r="D232" s="227">
        <f t="shared" ref="D232:K232" si="91">SUM(D226:D231)</f>
        <v>0</v>
      </c>
      <c r="E232" s="227">
        <f t="shared" si="91"/>
        <v>0</v>
      </c>
      <c r="F232" s="227">
        <f t="shared" si="91"/>
        <v>101620</v>
      </c>
      <c r="G232" s="227">
        <f t="shared" si="91"/>
        <v>0</v>
      </c>
      <c r="H232" s="227">
        <f t="shared" si="91"/>
        <v>0</v>
      </c>
      <c r="I232" s="227">
        <f t="shared" si="91"/>
        <v>0</v>
      </c>
      <c r="J232" s="227">
        <f t="shared" si="91"/>
        <v>131540</v>
      </c>
      <c r="K232" s="227">
        <f t="shared" si="91"/>
        <v>0</v>
      </c>
      <c r="L232" s="225">
        <f t="shared" si="83"/>
        <v>233160</v>
      </c>
      <c r="M232" s="221"/>
      <c r="N232" s="227">
        <f t="shared" ref="N232:U232" si="92">SUM(N226:N231)</f>
        <v>0</v>
      </c>
      <c r="O232" s="227">
        <f t="shared" si="92"/>
        <v>0</v>
      </c>
      <c r="P232" s="227">
        <f t="shared" si="92"/>
        <v>0</v>
      </c>
      <c r="Q232" s="227">
        <f t="shared" si="92"/>
        <v>0</v>
      </c>
      <c r="R232" s="227">
        <f t="shared" si="92"/>
        <v>0</v>
      </c>
      <c r="S232" s="227">
        <f t="shared" si="92"/>
        <v>0</v>
      </c>
      <c r="T232" s="227">
        <f t="shared" si="92"/>
        <v>0</v>
      </c>
      <c r="U232" s="227">
        <f t="shared" si="92"/>
        <v>0</v>
      </c>
      <c r="V232" s="225">
        <f t="shared" si="84"/>
        <v>0</v>
      </c>
      <c r="W232" s="215"/>
    </row>
    <row r="233" spans="1:23" ht="21" x14ac:dyDescent="0.35">
      <c r="A233" s="772">
        <v>44842</v>
      </c>
      <c r="B233" s="222" t="s">
        <v>2</v>
      </c>
      <c r="C233" s="222" t="s">
        <v>67</v>
      </c>
      <c r="D233" s="222"/>
      <c r="F233" s="222"/>
      <c r="G233" s="245"/>
      <c r="H233" s="222"/>
      <c r="I233" s="222"/>
      <c r="J233" s="222"/>
      <c r="K233" s="222"/>
      <c r="L233" s="222">
        <f t="shared" si="83"/>
        <v>0</v>
      </c>
      <c r="M233" s="224"/>
      <c r="N233" s="222"/>
      <c r="O233" s="222"/>
      <c r="P233" s="222"/>
      <c r="Q233" s="222"/>
      <c r="R233" s="222"/>
      <c r="S233" s="222"/>
      <c r="T233" s="222"/>
      <c r="U233" s="245"/>
      <c r="V233" s="222">
        <f t="shared" si="84"/>
        <v>0</v>
      </c>
      <c r="W233" s="215"/>
    </row>
    <row r="234" spans="1:23" ht="21" x14ac:dyDescent="0.35">
      <c r="A234" s="773"/>
      <c r="B234" s="222" t="s">
        <v>2</v>
      </c>
      <c r="C234" s="222" t="s">
        <v>65</v>
      </c>
      <c r="D234" s="222"/>
      <c r="E234" s="222"/>
      <c r="F234" s="222"/>
      <c r="G234" s="222"/>
      <c r="H234" s="222"/>
      <c r="I234" s="222">
        <v>159250</v>
      </c>
      <c r="J234" s="222"/>
      <c r="K234" s="222"/>
      <c r="L234" s="222">
        <f t="shared" si="83"/>
        <v>159250</v>
      </c>
      <c r="M234" s="224"/>
      <c r="N234" s="222"/>
      <c r="O234" s="222"/>
      <c r="P234" s="222"/>
      <c r="Q234" s="222"/>
      <c r="R234" s="222"/>
      <c r="S234" s="222"/>
      <c r="T234" s="222"/>
      <c r="U234" s="222"/>
      <c r="V234" s="222">
        <f t="shared" si="84"/>
        <v>0</v>
      </c>
      <c r="W234" s="215"/>
    </row>
    <row r="235" spans="1:23" ht="21" x14ac:dyDescent="0.35">
      <c r="A235" s="773"/>
      <c r="B235" s="222" t="s">
        <v>2</v>
      </c>
      <c r="C235" s="222" t="s">
        <v>74</v>
      </c>
      <c r="D235" s="222"/>
      <c r="E235" s="222"/>
      <c r="F235" s="222"/>
      <c r="G235" s="222"/>
      <c r="H235" s="222"/>
      <c r="I235" s="222"/>
      <c r="J235" s="222"/>
      <c r="K235" s="222"/>
      <c r="L235" s="222">
        <f t="shared" si="83"/>
        <v>0</v>
      </c>
      <c r="M235" s="224"/>
      <c r="N235" s="222"/>
      <c r="O235" s="222"/>
      <c r="P235" s="222"/>
      <c r="Q235" s="222"/>
      <c r="R235" s="222"/>
      <c r="S235" s="222"/>
      <c r="T235" s="222"/>
      <c r="U235" s="222"/>
      <c r="V235" s="222">
        <f t="shared" si="84"/>
        <v>0</v>
      </c>
      <c r="W235" s="215"/>
    </row>
    <row r="236" spans="1:23" ht="21" x14ac:dyDescent="0.35">
      <c r="A236" s="773"/>
      <c r="B236" s="222" t="s">
        <v>2</v>
      </c>
      <c r="C236" s="222" t="s">
        <v>138</v>
      </c>
      <c r="D236" s="222"/>
      <c r="E236" s="222"/>
      <c r="F236" s="229"/>
      <c r="G236" s="229"/>
      <c r="H236" s="222"/>
      <c r="I236" s="222"/>
      <c r="J236" s="222"/>
      <c r="K236" s="222"/>
      <c r="L236" s="222">
        <f t="shared" si="83"/>
        <v>0</v>
      </c>
      <c r="M236" s="224"/>
      <c r="N236" s="222"/>
      <c r="O236" s="222"/>
      <c r="P236" s="222"/>
      <c r="Q236" s="222"/>
      <c r="R236" s="222"/>
      <c r="S236" s="222"/>
      <c r="T236" s="222"/>
      <c r="U236" s="222"/>
      <c r="V236" s="222">
        <f t="shared" si="84"/>
        <v>0</v>
      </c>
      <c r="W236" s="215"/>
    </row>
    <row r="237" spans="1:23" ht="21" x14ac:dyDescent="0.35">
      <c r="A237" s="773"/>
      <c r="B237" s="222" t="s">
        <v>2</v>
      </c>
      <c r="C237" s="222" t="s">
        <v>167</v>
      </c>
      <c r="D237" s="222"/>
      <c r="E237" s="222"/>
      <c r="F237" s="222"/>
      <c r="G237" s="222"/>
      <c r="H237" s="222"/>
      <c r="I237" s="245"/>
      <c r="J237" s="222"/>
      <c r="K237" s="222"/>
      <c r="L237" s="222">
        <f t="shared" si="83"/>
        <v>0</v>
      </c>
      <c r="M237" s="224"/>
      <c r="N237" s="222"/>
      <c r="O237" s="222"/>
      <c r="P237" s="222"/>
      <c r="Q237" s="222"/>
      <c r="R237" s="222"/>
      <c r="S237" s="222"/>
      <c r="T237" s="222"/>
      <c r="U237" s="245"/>
      <c r="V237" s="222">
        <f t="shared" si="84"/>
        <v>0</v>
      </c>
      <c r="W237" s="215"/>
    </row>
    <row r="238" spans="1:23" ht="21" x14ac:dyDescent="0.35">
      <c r="A238" s="774"/>
      <c r="B238" s="222" t="s">
        <v>2</v>
      </c>
      <c r="C238" s="222" t="s">
        <v>292</v>
      </c>
      <c r="D238" s="222"/>
      <c r="E238" s="222"/>
      <c r="F238" s="222"/>
      <c r="G238" s="222"/>
      <c r="H238" s="222"/>
      <c r="I238" s="222"/>
      <c r="J238" s="222"/>
      <c r="K238" s="222"/>
      <c r="L238" s="222">
        <f t="shared" si="83"/>
        <v>0</v>
      </c>
      <c r="M238" s="224"/>
      <c r="N238" s="222"/>
      <c r="O238" s="229"/>
      <c r="P238" s="222"/>
      <c r="Q238" s="222"/>
      <c r="R238" s="222"/>
      <c r="S238" s="222"/>
      <c r="T238" s="222"/>
      <c r="U238" s="222"/>
      <c r="V238" s="222">
        <f t="shared" si="84"/>
        <v>0</v>
      </c>
      <c r="W238" s="215"/>
    </row>
    <row r="239" spans="1:23" ht="21" x14ac:dyDescent="0.35">
      <c r="A239" s="226" t="s">
        <v>92</v>
      </c>
      <c r="B239" s="227"/>
      <c r="C239" s="227"/>
      <c r="D239" s="227">
        <f t="shared" ref="D239:K239" si="93">SUM(D233:D238)</f>
        <v>0</v>
      </c>
      <c r="E239" s="227">
        <f t="shared" si="93"/>
        <v>0</v>
      </c>
      <c r="F239" s="227">
        <f t="shared" si="93"/>
        <v>0</v>
      </c>
      <c r="G239" s="227">
        <f>SUM(G233:G238)</f>
        <v>0</v>
      </c>
      <c r="H239" s="227">
        <f t="shared" si="93"/>
        <v>0</v>
      </c>
      <c r="I239" s="227">
        <f t="shared" si="93"/>
        <v>159250</v>
      </c>
      <c r="J239" s="227">
        <f t="shared" si="93"/>
        <v>0</v>
      </c>
      <c r="K239" s="227">
        <f t="shared" si="93"/>
        <v>0</v>
      </c>
      <c r="L239" s="225">
        <f t="shared" si="83"/>
        <v>159250</v>
      </c>
      <c r="M239" s="221"/>
      <c r="N239" s="227">
        <f t="shared" ref="N239:U239" si="94">SUM(N233:N238)</f>
        <v>0</v>
      </c>
      <c r="O239" s="227">
        <f t="shared" si="94"/>
        <v>0</v>
      </c>
      <c r="P239" s="227">
        <f t="shared" si="94"/>
        <v>0</v>
      </c>
      <c r="Q239" s="227">
        <f t="shared" si="94"/>
        <v>0</v>
      </c>
      <c r="R239" s="227">
        <f t="shared" si="94"/>
        <v>0</v>
      </c>
      <c r="S239" s="227">
        <f t="shared" si="94"/>
        <v>0</v>
      </c>
      <c r="T239" s="227">
        <f t="shared" si="94"/>
        <v>0</v>
      </c>
      <c r="U239" s="227">
        <f t="shared" si="94"/>
        <v>0</v>
      </c>
      <c r="V239" s="225">
        <f t="shared" si="84"/>
        <v>0</v>
      </c>
      <c r="W239" s="215"/>
    </row>
    <row r="240" spans="1:23" ht="21" x14ac:dyDescent="0.35">
      <c r="A240" s="772">
        <v>44843</v>
      </c>
      <c r="B240" s="222" t="s">
        <v>2</v>
      </c>
      <c r="C240" s="222" t="s">
        <v>67</v>
      </c>
      <c r="D240" s="222"/>
      <c r="E240" s="245"/>
      <c r="F240" s="222"/>
      <c r="G240" s="222"/>
      <c r="H240" s="222"/>
      <c r="I240" s="222"/>
      <c r="J240" s="222"/>
      <c r="K240" s="222"/>
      <c r="L240" s="222">
        <f t="shared" si="83"/>
        <v>0</v>
      </c>
      <c r="M240" s="224"/>
      <c r="N240" s="222"/>
      <c r="O240" s="222"/>
      <c r="P240" s="222"/>
      <c r="Q240" s="222"/>
      <c r="R240" s="222"/>
      <c r="S240" s="222"/>
      <c r="T240" s="222"/>
      <c r="U240" s="245"/>
      <c r="V240" s="222">
        <f>SUM(N240:U240)</f>
        <v>0</v>
      </c>
      <c r="W240" s="215"/>
    </row>
    <row r="241" spans="1:23" ht="21" x14ac:dyDescent="0.35">
      <c r="A241" s="773"/>
      <c r="B241" s="222" t="s">
        <v>2</v>
      </c>
      <c r="C241" s="222" t="s">
        <v>65</v>
      </c>
      <c r="D241" s="222"/>
      <c r="E241" s="245"/>
      <c r="F241" s="222"/>
      <c r="G241" s="222"/>
      <c r="H241" s="222"/>
      <c r="I241" s="222"/>
      <c r="J241" s="222"/>
      <c r="K241" s="222"/>
      <c r="L241" s="222">
        <f t="shared" si="83"/>
        <v>0</v>
      </c>
      <c r="M241" s="224"/>
      <c r="N241" s="222"/>
      <c r="O241" s="222"/>
      <c r="P241" s="222"/>
      <c r="Q241" s="222"/>
      <c r="R241" s="222"/>
      <c r="S241" s="222"/>
      <c r="T241" s="222"/>
      <c r="U241" s="245"/>
      <c r="V241" s="251">
        <f t="shared" si="84"/>
        <v>0</v>
      </c>
      <c r="W241" s="215"/>
    </row>
    <row r="242" spans="1:23" ht="21" x14ac:dyDescent="0.35">
      <c r="A242" s="773"/>
      <c r="B242" s="222" t="s">
        <v>2</v>
      </c>
      <c r="C242" s="222" t="s">
        <v>74</v>
      </c>
      <c r="D242" s="222"/>
      <c r="E242" s="245"/>
      <c r="F242" s="222"/>
      <c r="G242" s="222"/>
      <c r="H242" s="222"/>
      <c r="I242" s="222"/>
      <c r="J242" s="222"/>
      <c r="K242" s="222"/>
      <c r="L242" s="222">
        <f t="shared" si="83"/>
        <v>0</v>
      </c>
      <c r="M242" s="224"/>
      <c r="N242" s="222"/>
      <c r="O242" s="222"/>
      <c r="P242" s="222"/>
      <c r="Q242" s="222"/>
      <c r="R242" s="222"/>
      <c r="S242" s="222"/>
      <c r="T242" s="222"/>
      <c r="U242" s="245"/>
      <c r="V242" s="251">
        <f t="shared" si="84"/>
        <v>0</v>
      </c>
      <c r="W242" s="215"/>
    </row>
    <row r="243" spans="1:23" ht="21" x14ac:dyDescent="0.35">
      <c r="A243" s="773"/>
      <c r="B243" s="222" t="s">
        <v>2</v>
      </c>
      <c r="C243" s="222" t="s">
        <v>138</v>
      </c>
      <c r="D243" s="222"/>
      <c r="E243" s="222"/>
      <c r="F243" s="222"/>
      <c r="G243" s="222"/>
      <c r="H243" s="245"/>
      <c r="I243" s="222"/>
      <c r="J243" s="222"/>
      <c r="K243" s="222"/>
      <c r="L243" s="222">
        <f t="shared" si="83"/>
        <v>0</v>
      </c>
      <c r="M243" s="224"/>
      <c r="N243" s="222"/>
      <c r="O243" s="222"/>
      <c r="P243" s="222"/>
      <c r="Q243" s="222"/>
      <c r="R243" s="222"/>
      <c r="S243" s="222"/>
      <c r="T243" s="222"/>
      <c r="U243" s="245"/>
      <c r="V243" s="251">
        <f t="shared" si="84"/>
        <v>0</v>
      </c>
      <c r="W243" s="215"/>
    </row>
    <row r="244" spans="1:23" ht="21" x14ac:dyDescent="0.35">
      <c r="A244" s="773"/>
      <c r="B244" s="222" t="s">
        <v>2</v>
      </c>
      <c r="C244" s="222" t="s">
        <v>167</v>
      </c>
      <c r="D244" s="222"/>
      <c r="E244" s="222"/>
      <c r="F244" s="222"/>
      <c r="G244" s="222"/>
      <c r="H244" s="222"/>
      <c r="I244" s="222"/>
      <c r="J244" s="222"/>
      <c r="K244" s="222"/>
      <c r="L244" s="222">
        <f t="shared" si="83"/>
        <v>0</v>
      </c>
      <c r="M244" s="224"/>
      <c r="N244" s="222"/>
      <c r="O244" s="222"/>
      <c r="P244" s="222"/>
      <c r="Q244" s="222"/>
      <c r="R244" s="222"/>
      <c r="S244" s="222"/>
      <c r="T244" s="222"/>
      <c r="U244" s="222"/>
      <c r="V244" s="251">
        <f t="shared" si="84"/>
        <v>0</v>
      </c>
      <c r="W244" s="215"/>
    </row>
    <row r="245" spans="1:23" ht="21" x14ac:dyDescent="0.35">
      <c r="A245" s="774"/>
      <c r="B245" s="222" t="s">
        <v>2</v>
      </c>
      <c r="C245" s="222" t="s">
        <v>292</v>
      </c>
      <c r="D245" s="222"/>
      <c r="E245" s="222"/>
      <c r="F245" s="222"/>
      <c r="G245" s="222"/>
      <c r="H245" s="222"/>
      <c r="I245" s="222"/>
      <c r="J245" s="222"/>
      <c r="K245" s="222"/>
      <c r="L245" s="222">
        <f t="shared" si="83"/>
        <v>0</v>
      </c>
      <c r="M245" s="224"/>
      <c r="N245" s="222"/>
      <c r="O245" s="229"/>
      <c r="P245" s="222"/>
      <c r="Q245" s="222"/>
      <c r="R245" s="222"/>
      <c r="S245" s="222"/>
      <c r="T245" s="222"/>
      <c r="U245" s="222"/>
      <c r="V245" s="251">
        <f t="shared" si="84"/>
        <v>0</v>
      </c>
      <c r="W245" s="215"/>
    </row>
    <row r="246" spans="1:23" ht="21" x14ac:dyDescent="0.35">
      <c r="A246" s="226" t="s">
        <v>93</v>
      </c>
      <c r="B246" s="227"/>
      <c r="C246" s="227"/>
      <c r="D246" s="227">
        <f t="shared" ref="D246:K246" si="95">SUM(D240:D245)</f>
        <v>0</v>
      </c>
      <c r="E246" s="227">
        <f t="shared" si="95"/>
        <v>0</v>
      </c>
      <c r="F246" s="227">
        <f t="shared" si="95"/>
        <v>0</v>
      </c>
      <c r="G246" s="227">
        <f t="shared" si="95"/>
        <v>0</v>
      </c>
      <c r="H246" s="227">
        <f t="shared" si="95"/>
        <v>0</v>
      </c>
      <c r="I246" s="227">
        <f t="shared" si="95"/>
        <v>0</v>
      </c>
      <c r="J246" s="227">
        <f t="shared" si="95"/>
        <v>0</v>
      </c>
      <c r="K246" s="227">
        <f t="shared" si="95"/>
        <v>0</v>
      </c>
      <c r="L246" s="225">
        <f t="shared" si="83"/>
        <v>0</v>
      </c>
      <c r="M246" s="221"/>
      <c r="N246" s="227">
        <f t="shared" ref="N246:U246" si="96">SUM(N240:N245)</f>
        <v>0</v>
      </c>
      <c r="O246" s="227">
        <f t="shared" si="96"/>
        <v>0</v>
      </c>
      <c r="P246" s="227">
        <f t="shared" si="96"/>
        <v>0</v>
      </c>
      <c r="Q246" s="227">
        <f t="shared" si="96"/>
        <v>0</v>
      </c>
      <c r="R246" s="227">
        <f t="shared" si="96"/>
        <v>0</v>
      </c>
      <c r="S246" s="227">
        <f t="shared" si="96"/>
        <v>0</v>
      </c>
      <c r="T246" s="227">
        <f t="shared" si="96"/>
        <v>0</v>
      </c>
      <c r="U246" s="227">
        <f t="shared" si="96"/>
        <v>0</v>
      </c>
      <c r="V246" s="227">
        <f t="shared" si="84"/>
        <v>0</v>
      </c>
      <c r="W246" s="215"/>
    </row>
    <row r="247" spans="1:23" ht="21" x14ac:dyDescent="0.35">
      <c r="A247" s="772">
        <v>44844</v>
      </c>
      <c r="B247" s="222" t="s">
        <v>2</v>
      </c>
      <c r="C247" s="222" t="s">
        <v>67</v>
      </c>
      <c r="D247" s="222"/>
      <c r="E247" s="245"/>
      <c r="F247" s="246"/>
      <c r="G247" s="245"/>
      <c r="H247" s="246"/>
      <c r="I247" s="222"/>
      <c r="J247" s="222"/>
      <c r="K247" s="222"/>
      <c r="L247" s="222">
        <f t="shared" si="83"/>
        <v>0</v>
      </c>
      <c r="M247" s="224"/>
      <c r="N247" s="222"/>
      <c r="O247" s="222"/>
      <c r="P247" s="222"/>
      <c r="Q247" s="222"/>
      <c r="R247" s="222"/>
      <c r="S247" s="222"/>
      <c r="T247" s="222"/>
      <c r="U247" s="245"/>
      <c r="V247" s="222">
        <f t="shared" si="84"/>
        <v>0</v>
      </c>
      <c r="W247" s="215"/>
    </row>
    <row r="248" spans="1:23" ht="21" x14ac:dyDescent="0.35">
      <c r="A248" s="773"/>
      <c r="B248" s="222" t="s">
        <v>2</v>
      </c>
      <c r="C248" s="222" t="s">
        <v>65</v>
      </c>
      <c r="D248" s="222"/>
      <c r="E248" s="222"/>
      <c r="F248" s="246"/>
      <c r="G248" s="245"/>
      <c r="H248" s="245"/>
      <c r="I248" s="222"/>
      <c r="J248" s="222"/>
      <c r="K248" s="222"/>
      <c r="L248" s="222">
        <f t="shared" si="83"/>
        <v>0</v>
      </c>
      <c r="M248" s="224"/>
      <c r="N248" s="222"/>
      <c r="O248" s="222"/>
      <c r="P248" s="222"/>
      <c r="Q248" s="222"/>
      <c r="R248" s="222"/>
      <c r="S248" s="222"/>
      <c r="T248" s="222"/>
      <c r="U248" s="229"/>
      <c r="V248" s="222">
        <f t="shared" si="84"/>
        <v>0</v>
      </c>
      <c r="W248" s="215"/>
    </row>
    <row r="249" spans="1:23" ht="21" x14ac:dyDescent="0.35">
      <c r="A249" s="773"/>
      <c r="B249" s="222" t="s">
        <v>2</v>
      </c>
      <c r="C249" s="222" t="s">
        <v>74</v>
      </c>
      <c r="D249" s="222"/>
      <c r="E249" s="222"/>
      <c r="F249" s="246"/>
      <c r="G249" s="245"/>
      <c r="H249" s="245"/>
      <c r="I249" s="222"/>
      <c r="J249" s="222"/>
      <c r="K249" s="222"/>
      <c r="L249" s="222">
        <f t="shared" si="83"/>
        <v>0</v>
      </c>
      <c r="M249" s="224"/>
      <c r="N249" s="222"/>
      <c r="O249" s="222"/>
      <c r="P249" s="222"/>
      <c r="Q249" s="222"/>
      <c r="R249" s="222"/>
      <c r="S249" s="222"/>
      <c r="T249" s="222"/>
      <c r="U249" s="245"/>
      <c r="V249" s="222">
        <f t="shared" si="84"/>
        <v>0</v>
      </c>
      <c r="W249" s="215"/>
    </row>
    <row r="250" spans="1:23" ht="21" x14ac:dyDescent="0.35">
      <c r="A250" s="773"/>
      <c r="B250" s="229" t="s">
        <v>2</v>
      </c>
      <c r="C250" s="229" t="s">
        <v>138</v>
      </c>
      <c r="D250" s="229"/>
      <c r="E250" s="229"/>
      <c r="F250" s="248"/>
      <c r="G250" s="248"/>
      <c r="H250" s="248"/>
      <c r="I250" s="229"/>
      <c r="J250" s="229"/>
      <c r="K250" s="229"/>
      <c r="L250" s="222">
        <f t="shared" si="83"/>
        <v>0</v>
      </c>
      <c r="M250" s="224"/>
      <c r="N250" s="229"/>
      <c r="O250" s="222"/>
      <c r="P250" s="222"/>
      <c r="Q250" s="222"/>
      <c r="R250" s="222"/>
      <c r="S250" s="222"/>
      <c r="T250" s="222"/>
      <c r="U250" s="222"/>
      <c r="V250" s="222">
        <f t="shared" si="84"/>
        <v>0</v>
      </c>
      <c r="W250" s="230"/>
    </row>
    <row r="251" spans="1:23" ht="21" x14ac:dyDescent="0.35">
      <c r="A251" s="773"/>
      <c r="B251" s="222" t="s">
        <v>2</v>
      </c>
      <c r="C251" s="222" t="s">
        <v>167</v>
      </c>
      <c r="D251" s="222"/>
      <c r="E251" s="222"/>
      <c r="F251" s="246"/>
      <c r="G251" s="246"/>
      <c r="H251" s="246"/>
      <c r="I251" s="222"/>
      <c r="J251" s="222"/>
      <c r="K251" s="222"/>
      <c r="L251" s="222">
        <f t="shared" si="83"/>
        <v>0</v>
      </c>
      <c r="M251" s="224"/>
      <c r="N251" s="222"/>
      <c r="O251" s="229"/>
      <c r="P251" s="222"/>
      <c r="Q251" s="222"/>
      <c r="R251" s="222"/>
      <c r="S251" s="222"/>
      <c r="T251" s="222"/>
      <c r="U251" s="222"/>
      <c r="V251" s="222">
        <f t="shared" si="84"/>
        <v>0</v>
      </c>
      <c r="W251" s="215"/>
    </row>
    <row r="252" spans="1:23" ht="21" x14ac:dyDescent="0.35">
      <c r="A252" s="774"/>
      <c r="B252" s="222" t="s">
        <v>2</v>
      </c>
      <c r="C252" s="222" t="s">
        <v>292</v>
      </c>
      <c r="D252" s="222"/>
      <c r="E252" s="222"/>
      <c r="F252" s="222"/>
      <c r="G252" s="222"/>
      <c r="H252" s="222"/>
      <c r="I252" s="222"/>
      <c r="J252" s="222"/>
      <c r="K252" s="222"/>
      <c r="L252" s="222">
        <f t="shared" si="83"/>
        <v>0</v>
      </c>
      <c r="M252" s="224"/>
      <c r="N252" s="222"/>
      <c r="O252" s="229"/>
      <c r="P252" s="222"/>
      <c r="Q252" s="222"/>
      <c r="R252" s="222"/>
      <c r="S252" s="222"/>
      <c r="T252" s="222"/>
      <c r="U252" s="222"/>
      <c r="V252" s="222">
        <f t="shared" si="84"/>
        <v>0</v>
      </c>
      <c r="W252" s="215"/>
    </row>
    <row r="253" spans="1:23" ht="21" x14ac:dyDescent="0.35">
      <c r="A253" s="226" t="s">
        <v>94</v>
      </c>
      <c r="B253" s="227"/>
      <c r="C253" s="227"/>
      <c r="D253" s="227">
        <f t="shared" ref="D253:K253" si="97">SUM(D247:D252)</f>
        <v>0</v>
      </c>
      <c r="E253" s="227">
        <f t="shared" si="97"/>
        <v>0</v>
      </c>
      <c r="F253" s="227">
        <f t="shared" si="97"/>
        <v>0</v>
      </c>
      <c r="G253" s="227">
        <f t="shared" si="97"/>
        <v>0</v>
      </c>
      <c r="H253" s="227">
        <f t="shared" si="97"/>
        <v>0</v>
      </c>
      <c r="I253" s="227">
        <f t="shared" si="97"/>
        <v>0</v>
      </c>
      <c r="J253" s="227">
        <f t="shared" si="97"/>
        <v>0</v>
      </c>
      <c r="K253" s="227">
        <f t="shared" si="97"/>
        <v>0</v>
      </c>
      <c r="L253" s="225">
        <f t="shared" si="83"/>
        <v>0</v>
      </c>
      <c r="M253" s="221"/>
      <c r="N253" s="227">
        <f t="shared" ref="N253:U253" si="98">SUM(N247:N252)</f>
        <v>0</v>
      </c>
      <c r="O253" s="227">
        <f t="shared" si="98"/>
        <v>0</v>
      </c>
      <c r="P253" s="227">
        <f t="shared" si="98"/>
        <v>0</v>
      </c>
      <c r="Q253" s="227">
        <f t="shared" si="98"/>
        <v>0</v>
      </c>
      <c r="R253" s="227">
        <f t="shared" si="98"/>
        <v>0</v>
      </c>
      <c r="S253" s="227">
        <f t="shared" si="98"/>
        <v>0</v>
      </c>
      <c r="T253" s="227">
        <f t="shared" si="98"/>
        <v>0</v>
      </c>
      <c r="U253" s="227">
        <f t="shared" si="98"/>
        <v>0</v>
      </c>
      <c r="V253" s="225">
        <f t="shared" si="84"/>
        <v>0</v>
      </c>
      <c r="W253" s="215"/>
    </row>
    <row r="254" spans="1:23" ht="21" x14ac:dyDescent="0.35">
      <c r="A254" s="772">
        <v>44845</v>
      </c>
      <c r="B254" s="222" t="s">
        <v>2</v>
      </c>
      <c r="C254" s="222" t="s">
        <v>67</v>
      </c>
      <c r="D254" s="222"/>
      <c r="E254" s="245"/>
      <c r="F254" s="222"/>
      <c r="G254" s="245"/>
      <c r="H254" s="222"/>
      <c r="I254" s="222"/>
      <c r="J254" s="222"/>
      <c r="K254" s="222"/>
      <c r="L254" s="222">
        <f t="shared" si="83"/>
        <v>0</v>
      </c>
      <c r="M254" s="224"/>
      <c r="N254" s="222"/>
      <c r="O254" s="222"/>
      <c r="P254" s="222"/>
      <c r="Q254" s="222"/>
      <c r="R254" s="222"/>
      <c r="S254" s="222"/>
      <c r="T254" s="222"/>
      <c r="U254" s="535"/>
      <c r="V254" s="222">
        <f t="shared" si="84"/>
        <v>0</v>
      </c>
      <c r="W254" s="215"/>
    </row>
    <row r="255" spans="1:23" ht="21" x14ac:dyDescent="0.35">
      <c r="A255" s="773"/>
      <c r="B255" s="222" t="s">
        <v>2</v>
      </c>
      <c r="C255" s="222" t="s">
        <v>65</v>
      </c>
      <c r="D255" s="222"/>
      <c r="E255" s="222"/>
      <c r="F255" s="222"/>
      <c r="G255" s="222"/>
      <c r="H255" s="245"/>
      <c r="I255" s="222"/>
      <c r="J255" s="222"/>
      <c r="K255" s="222"/>
      <c r="L255" s="222">
        <f t="shared" si="83"/>
        <v>0</v>
      </c>
      <c r="M255" s="224"/>
      <c r="N255" s="222"/>
      <c r="O255" s="222"/>
      <c r="P255" s="222"/>
      <c r="Q255" s="222"/>
      <c r="R255" s="222"/>
      <c r="S255" s="222"/>
      <c r="T255" s="222"/>
      <c r="U255" s="245"/>
      <c r="V255" s="222">
        <f t="shared" si="84"/>
        <v>0</v>
      </c>
      <c r="W255" s="215"/>
    </row>
    <row r="256" spans="1:23" ht="21" x14ac:dyDescent="0.35">
      <c r="A256" s="773"/>
      <c r="B256" s="222" t="s">
        <v>2</v>
      </c>
      <c r="C256" s="222" t="s">
        <v>74</v>
      </c>
      <c r="D256" s="222"/>
      <c r="E256" s="222"/>
      <c r="F256" s="222"/>
      <c r="G256" s="245"/>
      <c r="H256" s="222"/>
      <c r="I256" s="245"/>
      <c r="J256" s="222"/>
      <c r="K256" s="222"/>
      <c r="L256" s="222">
        <f t="shared" si="83"/>
        <v>0</v>
      </c>
      <c r="M256" s="224"/>
      <c r="N256" s="222"/>
      <c r="O256" s="222"/>
      <c r="P256" s="222"/>
      <c r="Q256" s="222"/>
      <c r="R256" s="222"/>
      <c r="S256" s="222"/>
      <c r="T256" s="222"/>
      <c r="U256" s="245"/>
      <c r="V256" s="222">
        <f t="shared" si="84"/>
        <v>0</v>
      </c>
      <c r="W256" s="215"/>
    </row>
    <row r="257" spans="1:23" ht="21" x14ac:dyDescent="0.35">
      <c r="A257" s="773"/>
      <c r="B257" s="222" t="s">
        <v>2</v>
      </c>
      <c r="C257" s="222" t="s">
        <v>138</v>
      </c>
      <c r="D257" s="222"/>
      <c r="E257" s="222"/>
      <c r="F257" s="222"/>
      <c r="G257" s="222"/>
      <c r="H257" s="222"/>
      <c r="I257" s="222"/>
      <c r="J257" s="222"/>
      <c r="K257" s="222"/>
      <c r="L257" s="222">
        <f t="shared" si="83"/>
        <v>0</v>
      </c>
      <c r="M257" s="224"/>
      <c r="N257" s="222"/>
      <c r="O257" s="222"/>
      <c r="P257" s="222"/>
      <c r="Q257" s="222"/>
      <c r="R257" s="222"/>
      <c r="S257" s="222"/>
      <c r="T257" s="222"/>
      <c r="U257" s="222"/>
      <c r="V257" s="222">
        <f t="shared" si="84"/>
        <v>0</v>
      </c>
      <c r="W257" s="215"/>
    </row>
    <row r="258" spans="1:23" ht="21" x14ac:dyDescent="0.35">
      <c r="A258" s="773"/>
      <c r="B258" s="222" t="s">
        <v>2</v>
      </c>
      <c r="C258" s="222" t="s">
        <v>167</v>
      </c>
      <c r="D258" s="222"/>
      <c r="E258" s="222"/>
      <c r="F258" s="222"/>
      <c r="G258" s="222"/>
      <c r="H258" s="222"/>
      <c r="I258" s="222"/>
      <c r="J258" s="222"/>
      <c r="K258" s="222"/>
      <c r="L258" s="222">
        <f t="shared" si="83"/>
        <v>0</v>
      </c>
      <c r="M258" s="224"/>
      <c r="N258" s="222"/>
      <c r="O258" s="229"/>
      <c r="P258" s="222"/>
      <c r="Q258" s="222"/>
      <c r="R258" s="222"/>
      <c r="S258" s="222"/>
      <c r="T258" s="222"/>
      <c r="U258" s="222"/>
      <c r="V258" s="222">
        <f t="shared" si="84"/>
        <v>0</v>
      </c>
      <c r="W258" s="215"/>
    </row>
    <row r="259" spans="1:23" ht="21" x14ac:dyDescent="0.35">
      <c r="A259" s="774"/>
      <c r="B259" s="222" t="s">
        <v>2</v>
      </c>
      <c r="C259" s="222" t="s">
        <v>292</v>
      </c>
      <c r="D259" s="222"/>
      <c r="E259" s="222"/>
      <c r="F259" s="222"/>
      <c r="G259" s="222"/>
      <c r="H259" s="222"/>
      <c r="I259" s="222"/>
      <c r="J259" s="222"/>
      <c r="K259" s="222"/>
      <c r="L259" s="222">
        <f t="shared" si="83"/>
        <v>0</v>
      </c>
      <c r="M259" s="224"/>
      <c r="N259" s="222"/>
      <c r="O259" s="229"/>
      <c r="P259" s="222"/>
      <c r="Q259" s="222"/>
      <c r="R259" s="222"/>
      <c r="S259" s="222"/>
      <c r="T259" s="222"/>
      <c r="U259" s="222"/>
      <c r="V259" s="222">
        <f t="shared" si="84"/>
        <v>0</v>
      </c>
      <c r="W259" s="215"/>
    </row>
    <row r="260" spans="1:23" ht="21" x14ac:dyDescent="0.35">
      <c r="A260" s="226" t="s">
        <v>95</v>
      </c>
      <c r="B260" s="227"/>
      <c r="C260" s="227"/>
      <c r="D260" s="227">
        <f t="shared" ref="D260:K260" si="99">SUM(D254:D259)</f>
        <v>0</v>
      </c>
      <c r="E260" s="227">
        <f t="shared" si="99"/>
        <v>0</v>
      </c>
      <c r="F260" s="227">
        <f t="shared" si="99"/>
        <v>0</v>
      </c>
      <c r="G260" s="227">
        <f t="shared" si="99"/>
        <v>0</v>
      </c>
      <c r="H260" s="227">
        <f t="shared" si="99"/>
        <v>0</v>
      </c>
      <c r="I260" s="227">
        <f t="shared" si="99"/>
        <v>0</v>
      </c>
      <c r="J260" s="227">
        <f t="shared" si="99"/>
        <v>0</v>
      </c>
      <c r="K260" s="227">
        <f t="shared" si="99"/>
        <v>0</v>
      </c>
      <c r="L260" s="225">
        <f t="shared" si="83"/>
        <v>0</v>
      </c>
      <c r="M260" s="221"/>
      <c r="N260" s="227">
        <f t="shared" ref="N260:U260" si="100">SUM(N254:N258)</f>
        <v>0</v>
      </c>
      <c r="O260" s="227">
        <f t="shared" si="100"/>
        <v>0</v>
      </c>
      <c r="P260" s="227">
        <f t="shared" si="100"/>
        <v>0</v>
      </c>
      <c r="Q260" s="227">
        <f t="shared" si="100"/>
        <v>0</v>
      </c>
      <c r="R260" s="227">
        <f t="shared" si="100"/>
        <v>0</v>
      </c>
      <c r="S260" s="227">
        <f t="shared" si="100"/>
        <v>0</v>
      </c>
      <c r="T260" s="227">
        <f t="shared" si="100"/>
        <v>0</v>
      </c>
      <c r="U260" s="227">
        <f t="shared" si="100"/>
        <v>0</v>
      </c>
      <c r="V260" s="225">
        <f t="shared" si="84"/>
        <v>0</v>
      </c>
      <c r="W260" s="215"/>
    </row>
    <row r="261" spans="1:23" ht="21" x14ac:dyDescent="0.35">
      <c r="A261" s="772">
        <v>44846</v>
      </c>
      <c r="B261" s="222" t="s">
        <v>2</v>
      </c>
      <c r="C261" s="222" t="s">
        <v>67</v>
      </c>
      <c r="D261" s="222"/>
      <c r="E261" s="222"/>
      <c r="F261" s="222"/>
      <c r="G261" s="222"/>
      <c r="H261" s="245"/>
      <c r="I261" s="222"/>
      <c r="J261" s="222"/>
      <c r="K261" s="222"/>
      <c r="L261" s="222">
        <f t="shared" si="83"/>
        <v>0</v>
      </c>
      <c r="M261" s="224"/>
      <c r="N261" s="222"/>
      <c r="O261" s="222">
        <f>108060+33940</f>
        <v>142000</v>
      </c>
      <c r="P261" s="222"/>
      <c r="Q261" s="222"/>
      <c r="R261" s="222"/>
      <c r="S261" s="222"/>
      <c r="T261" s="222"/>
      <c r="U261" s="245"/>
      <c r="V261" s="222">
        <f t="shared" si="84"/>
        <v>142000</v>
      </c>
      <c r="W261" s="215"/>
    </row>
    <row r="262" spans="1:23" ht="21" x14ac:dyDescent="0.35">
      <c r="A262" s="773"/>
      <c r="B262" s="222" t="s">
        <v>2</v>
      </c>
      <c r="C262" s="249" t="s">
        <v>65</v>
      </c>
      <c r="D262" s="222"/>
      <c r="E262" s="222"/>
      <c r="F262" s="222"/>
      <c r="G262" s="222"/>
      <c r="H262" s="222"/>
      <c r="I262" s="222"/>
      <c r="J262" s="222"/>
      <c r="K262" s="222"/>
      <c r="L262" s="222">
        <f t="shared" si="83"/>
        <v>0</v>
      </c>
      <c r="M262" s="224"/>
      <c r="N262" s="222"/>
      <c r="O262" s="222"/>
      <c r="P262" s="222"/>
      <c r="Q262" s="222"/>
      <c r="R262" s="222"/>
      <c r="S262" s="222"/>
      <c r="T262" s="222"/>
      <c r="U262" s="222"/>
      <c r="V262" s="222">
        <f t="shared" si="84"/>
        <v>0</v>
      </c>
      <c r="W262" s="215"/>
    </row>
    <row r="263" spans="1:23" ht="21" x14ac:dyDescent="0.35">
      <c r="A263" s="773"/>
      <c r="B263" s="222" t="s">
        <v>2</v>
      </c>
      <c r="C263" s="222" t="s">
        <v>74</v>
      </c>
      <c r="D263" s="222"/>
      <c r="E263" s="222"/>
      <c r="F263" s="222"/>
      <c r="G263" s="222"/>
      <c r="H263" s="222"/>
      <c r="I263" s="222"/>
      <c r="J263" s="222"/>
      <c r="K263" s="222"/>
      <c r="L263" s="222">
        <f t="shared" si="83"/>
        <v>0</v>
      </c>
      <c r="M263" s="224"/>
      <c r="N263" s="222"/>
      <c r="O263" s="222"/>
      <c r="P263" s="222"/>
      <c r="Q263" s="222"/>
      <c r="R263" s="222"/>
      <c r="S263" s="222"/>
      <c r="T263" s="222"/>
      <c r="U263" s="222"/>
      <c r="V263" s="222">
        <f t="shared" si="84"/>
        <v>0</v>
      </c>
      <c r="W263" s="215"/>
    </row>
    <row r="264" spans="1:23" ht="21" x14ac:dyDescent="0.35">
      <c r="A264" s="773"/>
      <c r="B264" s="222" t="s">
        <v>2</v>
      </c>
      <c r="C264" s="222" t="s">
        <v>138</v>
      </c>
      <c r="D264" s="222"/>
      <c r="E264" s="245"/>
      <c r="F264" s="222"/>
      <c r="G264" s="222"/>
      <c r="H264" s="222"/>
      <c r="I264" s="222"/>
      <c r="J264" s="222"/>
      <c r="K264" s="222"/>
      <c r="L264" s="222">
        <f t="shared" si="83"/>
        <v>0</v>
      </c>
      <c r="M264" s="224"/>
      <c r="N264" s="222"/>
      <c r="O264" s="222"/>
      <c r="P264" s="222"/>
      <c r="Q264" s="222"/>
      <c r="R264" s="222"/>
      <c r="S264" s="222"/>
      <c r="T264" s="222"/>
      <c r="U264" s="245"/>
      <c r="V264" s="222">
        <f t="shared" si="84"/>
        <v>0</v>
      </c>
      <c r="W264" s="215"/>
    </row>
    <row r="265" spans="1:23" ht="21" x14ac:dyDescent="0.35">
      <c r="A265" s="773"/>
      <c r="B265" s="222" t="s">
        <v>2</v>
      </c>
      <c r="C265" s="222" t="s">
        <v>167</v>
      </c>
      <c r="D265" s="222"/>
      <c r="E265" s="222"/>
      <c r="F265" s="222"/>
      <c r="G265" s="222"/>
      <c r="H265" s="222"/>
      <c r="I265" s="222"/>
      <c r="J265" s="222"/>
      <c r="K265" s="222"/>
      <c r="L265" s="222">
        <f t="shared" si="83"/>
        <v>0</v>
      </c>
      <c r="M265" s="224"/>
      <c r="N265" s="222"/>
      <c r="O265" s="229"/>
      <c r="P265" s="222"/>
      <c r="Q265" s="222"/>
      <c r="R265" s="222"/>
      <c r="S265" s="222"/>
      <c r="T265" s="222"/>
      <c r="U265" s="222"/>
      <c r="V265" s="222">
        <f t="shared" si="84"/>
        <v>0</v>
      </c>
      <c r="W265" s="215"/>
    </row>
    <row r="266" spans="1:23" ht="21" x14ac:dyDescent="0.35">
      <c r="A266" s="774"/>
      <c r="B266" s="222" t="s">
        <v>2</v>
      </c>
      <c r="C266" s="222" t="s">
        <v>292</v>
      </c>
      <c r="D266" s="222"/>
      <c r="E266" s="222"/>
      <c r="F266" s="222"/>
      <c r="G266" s="222"/>
      <c r="H266" s="222"/>
      <c r="I266" s="222"/>
      <c r="J266" s="222"/>
      <c r="K266" s="222"/>
      <c r="L266" s="222">
        <f t="shared" si="83"/>
        <v>0</v>
      </c>
      <c r="M266" s="224"/>
      <c r="N266" s="222"/>
      <c r="O266" s="229"/>
      <c r="P266" s="222"/>
      <c r="Q266" s="222"/>
      <c r="R266" s="222"/>
      <c r="S266" s="222"/>
      <c r="T266" s="222"/>
      <c r="U266" s="222"/>
      <c r="V266" s="222">
        <f t="shared" si="84"/>
        <v>0</v>
      </c>
      <c r="W266" s="215"/>
    </row>
    <row r="267" spans="1:23" ht="21" x14ac:dyDescent="0.35">
      <c r="A267" s="226" t="s">
        <v>96</v>
      </c>
      <c r="B267" s="227"/>
      <c r="C267" s="227"/>
      <c r="D267" s="227">
        <f t="shared" ref="D267:K267" si="101">SUM(D261:D266)</f>
        <v>0</v>
      </c>
      <c r="E267" s="227">
        <f t="shared" si="101"/>
        <v>0</v>
      </c>
      <c r="F267" s="227">
        <f t="shared" si="101"/>
        <v>0</v>
      </c>
      <c r="G267" s="227">
        <f t="shared" si="101"/>
        <v>0</v>
      </c>
      <c r="H267" s="227">
        <f t="shared" si="101"/>
        <v>0</v>
      </c>
      <c r="I267" s="227">
        <f t="shared" si="101"/>
        <v>0</v>
      </c>
      <c r="J267" s="227">
        <f t="shared" si="101"/>
        <v>0</v>
      </c>
      <c r="K267" s="227">
        <f t="shared" si="101"/>
        <v>0</v>
      </c>
      <c r="L267" s="225">
        <f t="shared" si="83"/>
        <v>0</v>
      </c>
      <c r="M267" s="221"/>
      <c r="N267" s="227">
        <f t="shared" ref="N267:U267" si="102">SUM(N261:N266)</f>
        <v>0</v>
      </c>
      <c r="O267" s="227">
        <f t="shared" si="102"/>
        <v>142000</v>
      </c>
      <c r="P267" s="227">
        <f t="shared" si="102"/>
        <v>0</v>
      </c>
      <c r="Q267" s="227">
        <f t="shared" si="102"/>
        <v>0</v>
      </c>
      <c r="R267" s="227">
        <f t="shared" si="102"/>
        <v>0</v>
      </c>
      <c r="S267" s="227">
        <f t="shared" si="102"/>
        <v>0</v>
      </c>
      <c r="T267" s="227">
        <f t="shared" si="102"/>
        <v>0</v>
      </c>
      <c r="U267" s="227">
        <f t="shared" si="102"/>
        <v>0</v>
      </c>
      <c r="V267" s="225">
        <f t="shared" si="84"/>
        <v>142000</v>
      </c>
      <c r="W267" s="215"/>
    </row>
    <row r="268" spans="1:23" ht="21" x14ac:dyDescent="0.35">
      <c r="A268" s="772">
        <v>44847</v>
      </c>
      <c r="B268" s="222" t="s">
        <v>2</v>
      </c>
      <c r="C268" s="222" t="s">
        <v>67</v>
      </c>
      <c r="D268" s="222"/>
      <c r="E268" s="222"/>
      <c r="F268" s="222"/>
      <c r="G268" s="222"/>
      <c r="H268" s="222"/>
      <c r="I268" s="222"/>
      <c r="J268" s="222"/>
      <c r="K268" s="222"/>
      <c r="L268" s="222">
        <f t="shared" si="83"/>
        <v>0</v>
      </c>
      <c r="M268" s="224"/>
      <c r="N268" s="222"/>
      <c r="O268" s="222"/>
      <c r="P268" s="222"/>
      <c r="Q268" s="222"/>
      <c r="R268" s="222"/>
      <c r="S268" s="222"/>
      <c r="T268" s="222"/>
      <c r="U268" s="222"/>
      <c r="V268" s="222">
        <f t="shared" si="84"/>
        <v>0</v>
      </c>
      <c r="W268" s="215"/>
    </row>
    <row r="269" spans="1:23" ht="21" x14ac:dyDescent="0.35">
      <c r="A269" s="773"/>
      <c r="B269" s="222" t="s">
        <v>2</v>
      </c>
      <c r="C269" s="222" t="s">
        <v>65</v>
      </c>
      <c r="D269" s="222"/>
      <c r="E269" s="222"/>
      <c r="F269" s="222"/>
      <c r="G269" s="222"/>
      <c r="H269" s="222"/>
      <c r="I269" s="222"/>
      <c r="J269" s="222"/>
      <c r="K269" s="222"/>
      <c r="L269" s="222">
        <f t="shared" si="83"/>
        <v>0</v>
      </c>
      <c r="M269" s="224"/>
      <c r="N269" s="222"/>
      <c r="O269" s="222"/>
      <c r="P269" s="222"/>
      <c r="Q269" s="222"/>
      <c r="R269" s="222"/>
      <c r="S269" s="222"/>
      <c r="T269" s="222">
        <v>33870</v>
      </c>
      <c r="U269" s="222"/>
      <c r="V269" s="222">
        <f t="shared" si="84"/>
        <v>33870</v>
      </c>
      <c r="W269" s="215"/>
    </row>
    <row r="270" spans="1:23" ht="21" x14ac:dyDescent="0.35">
      <c r="A270" s="773"/>
      <c r="B270" s="222" t="s">
        <v>2</v>
      </c>
      <c r="C270" s="222" t="s">
        <v>74</v>
      </c>
      <c r="D270" s="245"/>
      <c r="E270" s="245"/>
      <c r="F270" s="222"/>
      <c r="G270" s="222"/>
      <c r="H270" s="222"/>
      <c r="I270" s="245"/>
      <c r="J270" s="222">
        <v>137610</v>
      </c>
      <c r="K270" s="222"/>
      <c r="L270" s="222">
        <f t="shared" si="83"/>
        <v>137610</v>
      </c>
      <c r="M270" s="224"/>
      <c r="N270" s="222"/>
      <c r="O270" s="222"/>
      <c r="P270" s="222"/>
      <c r="Q270" s="245"/>
      <c r="R270" s="222"/>
      <c r="S270" s="222"/>
      <c r="T270" s="222"/>
      <c r="U270" s="245"/>
      <c r="V270" s="222">
        <f t="shared" si="84"/>
        <v>0</v>
      </c>
      <c r="W270" s="215"/>
    </row>
    <row r="271" spans="1:23" ht="21" x14ac:dyDescent="0.35">
      <c r="A271" s="773"/>
      <c r="B271" s="222" t="s">
        <v>2</v>
      </c>
      <c r="C271" s="222" t="s">
        <v>138</v>
      </c>
      <c r="D271" s="245"/>
      <c r="E271" s="222"/>
      <c r="F271" s="222"/>
      <c r="G271" s="222"/>
      <c r="H271" s="222"/>
      <c r="I271" s="222"/>
      <c r="J271" s="222"/>
      <c r="K271" s="222"/>
      <c r="L271" s="222">
        <f t="shared" ref="L271:L334" si="103">SUM(D271:K271)</f>
        <v>0</v>
      </c>
      <c r="M271" s="224"/>
      <c r="N271" s="222"/>
      <c r="O271" s="222"/>
      <c r="P271" s="222"/>
      <c r="Q271" s="222"/>
      <c r="R271" s="222"/>
      <c r="S271" s="222"/>
      <c r="T271" s="222"/>
      <c r="U271" s="245"/>
      <c r="V271" s="222">
        <f t="shared" ref="V271:V334" si="104">SUM(N271:U271)</f>
        <v>0</v>
      </c>
      <c r="W271" s="215"/>
    </row>
    <row r="272" spans="1:23" ht="21" x14ac:dyDescent="0.35">
      <c r="A272" s="773"/>
      <c r="B272" s="222" t="s">
        <v>2</v>
      </c>
      <c r="C272" s="222" t="s">
        <v>167</v>
      </c>
      <c r="D272" s="222"/>
      <c r="E272" s="245"/>
      <c r="F272" s="222"/>
      <c r="G272" s="222"/>
      <c r="H272" s="222"/>
      <c r="I272" s="222"/>
      <c r="J272" s="222"/>
      <c r="K272" s="222"/>
      <c r="L272" s="222">
        <f t="shared" si="103"/>
        <v>0</v>
      </c>
      <c r="M272" s="224"/>
      <c r="N272" s="222"/>
      <c r="O272" s="229"/>
      <c r="P272" s="222"/>
      <c r="Q272" s="222"/>
      <c r="R272" s="222"/>
      <c r="S272" s="222"/>
      <c r="T272" s="222"/>
      <c r="U272" s="245"/>
      <c r="V272" s="222">
        <f t="shared" si="104"/>
        <v>0</v>
      </c>
      <c r="W272" s="215"/>
    </row>
    <row r="273" spans="1:23" ht="21" x14ac:dyDescent="0.35">
      <c r="A273" s="774"/>
      <c r="B273" s="222" t="s">
        <v>2</v>
      </c>
      <c r="C273" s="222" t="s">
        <v>292</v>
      </c>
      <c r="D273" s="222"/>
      <c r="E273" s="222"/>
      <c r="F273" s="222"/>
      <c r="G273" s="222"/>
      <c r="H273" s="222"/>
      <c r="I273" s="222"/>
      <c r="J273" s="222"/>
      <c r="K273" s="222"/>
      <c r="L273" s="222">
        <f t="shared" si="103"/>
        <v>0</v>
      </c>
      <c r="M273" s="224"/>
      <c r="N273" s="222"/>
      <c r="O273" s="229"/>
      <c r="P273" s="222"/>
      <c r="Q273" s="222"/>
      <c r="R273" s="222"/>
      <c r="S273" s="222"/>
      <c r="T273" s="222"/>
      <c r="U273" s="222"/>
      <c r="V273" s="222">
        <f t="shared" si="104"/>
        <v>0</v>
      </c>
      <c r="W273" s="215"/>
    </row>
    <row r="274" spans="1:23" ht="21" x14ac:dyDescent="0.35">
      <c r="A274" s="226" t="s">
        <v>97</v>
      </c>
      <c r="B274" s="227"/>
      <c r="C274" s="227"/>
      <c r="D274" s="227">
        <f t="shared" ref="D274:K274" si="105">SUM(D268:D273)</f>
        <v>0</v>
      </c>
      <c r="E274" s="227">
        <f t="shared" si="105"/>
        <v>0</v>
      </c>
      <c r="F274" s="227">
        <f t="shared" si="105"/>
        <v>0</v>
      </c>
      <c r="G274" s="227">
        <f t="shared" si="105"/>
        <v>0</v>
      </c>
      <c r="H274" s="227">
        <f t="shared" si="105"/>
        <v>0</v>
      </c>
      <c r="I274" s="227">
        <f t="shared" si="105"/>
        <v>0</v>
      </c>
      <c r="J274" s="227">
        <f t="shared" si="105"/>
        <v>137610</v>
      </c>
      <c r="K274" s="227">
        <f t="shared" si="105"/>
        <v>0</v>
      </c>
      <c r="L274" s="225">
        <f t="shared" si="103"/>
        <v>137610</v>
      </c>
      <c r="M274" s="221"/>
      <c r="N274" s="227">
        <f t="shared" ref="N274:U274" si="106">SUM(N268:N273)</f>
        <v>0</v>
      </c>
      <c r="O274" s="227">
        <f t="shared" si="106"/>
        <v>0</v>
      </c>
      <c r="P274" s="227">
        <f t="shared" si="106"/>
        <v>0</v>
      </c>
      <c r="Q274" s="227">
        <f t="shared" si="106"/>
        <v>0</v>
      </c>
      <c r="R274" s="227">
        <f t="shared" si="106"/>
        <v>0</v>
      </c>
      <c r="S274" s="227">
        <f t="shared" si="106"/>
        <v>0</v>
      </c>
      <c r="T274" s="227">
        <f t="shared" si="106"/>
        <v>33870</v>
      </c>
      <c r="U274" s="227">
        <f t="shared" si="106"/>
        <v>0</v>
      </c>
      <c r="V274" s="225">
        <f t="shared" si="104"/>
        <v>33870</v>
      </c>
      <c r="W274" s="215"/>
    </row>
    <row r="275" spans="1:23" ht="21" x14ac:dyDescent="0.35">
      <c r="A275" s="772">
        <v>44848</v>
      </c>
      <c r="B275" s="222" t="s">
        <v>2</v>
      </c>
      <c r="C275" s="222" t="s">
        <v>67</v>
      </c>
      <c r="D275" s="222"/>
      <c r="E275" s="222"/>
      <c r="F275" s="222"/>
      <c r="G275" s="222"/>
      <c r="H275" s="222"/>
      <c r="I275" s="245"/>
      <c r="J275" s="222"/>
      <c r="K275" s="222"/>
      <c r="L275" s="222">
        <f t="shared" si="103"/>
        <v>0</v>
      </c>
      <c r="M275" s="224"/>
      <c r="N275" s="222"/>
      <c r="O275" s="222"/>
      <c r="P275" s="222"/>
      <c r="Q275" s="222"/>
      <c r="R275" s="222"/>
      <c r="S275" s="222"/>
      <c r="T275" s="222"/>
      <c r="U275" s="245"/>
      <c r="V275" s="222">
        <f t="shared" si="104"/>
        <v>0</v>
      </c>
      <c r="W275" s="215"/>
    </row>
    <row r="276" spans="1:23" ht="21" x14ac:dyDescent="0.35">
      <c r="A276" s="773"/>
      <c r="B276" s="222" t="s">
        <v>2</v>
      </c>
      <c r="C276" s="222" t="s">
        <v>65</v>
      </c>
      <c r="D276" s="222"/>
      <c r="E276" s="222"/>
      <c r="F276" s="222"/>
      <c r="G276" s="222"/>
      <c r="H276" s="222"/>
      <c r="I276" s="222"/>
      <c r="J276" s="222"/>
      <c r="K276" s="222"/>
      <c r="L276" s="222">
        <f t="shared" si="103"/>
        <v>0</v>
      </c>
      <c r="M276" s="224"/>
      <c r="N276" s="222"/>
      <c r="O276" s="222"/>
      <c r="P276" s="222"/>
      <c r="Q276" s="222"/>
      <c r="R276" s="222"/>
      <c r="S276" s="222"/>
      <c r="T276" s="222"/>
      <c r="U276" s="222"/>
      <c r="V276" s="222">
        <f t="shared" si="104"/>
        <v>0</v>
      </c>
      <c r="W276" s="215"/>
    </row>
    <row r="277" spans="1:23" ht="21" x14ac:dyDescent="0.35">
      <c r="A277" s="773"/>
      <c r="B277" s="222" t="s">
        <v>2</v>
      </c>
      <c r="C277" s="222" t="s">
        <v>74</v>
      </c>
      <c r="D277" s="222"/>
      <c r="E277" s="222"/>
      <c r="F277" s="222"/>
      <c r="G277" s="222"/>
      <c r="H277" s="222"/>
      <c r="I277" s="222"/>
      <c r="J277" s="222">
        <v>84810</v>
      </c>
      <c r="K277" s="222"/>
      <c r="L277" s="222">
        <f t="shared" si="103"/>
        <v>84810</v>
      </c>
      <c r="M277" s="224"/>
      <c r="N277" s="222"/>
      <c r="O277" s="222"/>
      <c r="P277" s="222"/>
      <c r="Q277" s="222"/>
      <c r="R277" s="222"/>
      <c r="S277" s="222"/>
      <c r="T277" s="222"/>
      <c r="U277" s="222"/>
      <c r="V277" s="222">
        <f t="shared" si="104"/>
        <v>0</v>
      </c>
      <c r="W277" s="215"/>
    </row>
    <row r="278" spans="1:23" ht="21" x14ac:dyDescent="0.35">
      <c r="A278" s="773"/>
      <c r="B278" s="222" t="s">
        <v>2</v>
      </c>
      <c r="C278" s="222" t="s">
        <v>138</v>
      </c>
      <c r="D278" s="222"/>
      <c r="E278" s="222"/>
      <c r="F278" s="222"/>
      <c r="G278" s="245"/>
      <c r="H278" s="222"/>
      <c r="I278" s="245"/>
      <c r="J278" s="222"/>
      <c r="K278" s="222"/>
      <c r="L278" s="222">
        <f t="shared" si="103"/>
        <v>0</v>
      </c>
      <c r="M278" s="224"/>
      <c r="N278" s="222"/>
      <c r="O278" s="222"/>
      <c r="P278" s="222"/>
      <c r="Q278" s="222"/>
      <c r="R278" s="222"/>
      <c r="S278" s="222"/>
      <c r="T278" s="222"/>
      <c r="U278" s="245"/>
      <c r="V278" s="222">
        <f t="shared" si="104"/>
        <v>0</v>
      </c>
      <c r="W278" s="215"/>
    </row>
    <row r="279" spans="1:23" ht="21" x14ac:dyDescent="0.35">
      <c r="A279" s="773"/>
      <c r="B279" s="222" t="s">
        <v>2</v>
      </c>
      <c r="C279" s="222" t="s">
        <v>167</v>
      </c>
      <c r="D279" s="222"/>
      <c r="E279" s="222"/>
      <c r="F279" s="222"/>
      <c r="G279" s="222"/>
      <c r="H279" s="245"/>
      <c r="I279" s="562"/>
      <c r="J279" s="222"/>
      <c r="K279" s="222"/>
      <c r="L279" s="222">
        <f t="shared" si="103"/>
        <v>0</v>
      </c>
      <c r="M279" s="224"/>
      <c r="N279" s="222"/>
      <c r="O279" s="229"/>
      <c r="P279" s="222"/>
      <c r="Q279" s="222"/>
      <c r="R279" s="222"/>
      <c r="S279" s="222"/>
      <c r="T279" s="222"/>
      <c r="U279" s="596"/>
      <c r="V279" s="222">
        <f t="shared" si="104"/>
        <v>0</v>
      </c>
      <c r="W279" s="215"/>
    </row>
    <row r="280" spans="1:23" ht="21" x14ac:dyDescent="0.35">
      <c r="A280" s="774"/>
      <c r="B280" s="222" t="s">
        <v>2</v>
      </c>
      <c r="C280" s="222" t="s">
        <v>292</v>
      </c>
      <c r="D280" s="222"/>
      <c r="E280" s="222"/>
      <c r="F280" s="222"/>
      <c r="G280" s="222"/>
      <c r="H280" s="222"/>
      <c r="I280" s="222"/>
      <c r="J280" s="222"/>
      <c r="K280" s="222"/>
      <c r="L280" s="222">
        <f t="shared" si="103"/>
        <v>0</v>
      </c>
      <c r="M280" s="224"/>
      <c r="N280" s="222"/>
      <c r="O280" s="229"/>
      <c r="P280" s="222"/>
      <c r="Q280" s="222"/>
      <c r="R280" s="222"/>
      <c r="S280" s="222"/>
      <c r="T280" s="222"/>
      <c r="U280" s="222"/>
      <c r="V280" s="222">
        <f t="shared" si="104"/>
        <v>0</v>
      </c>
      <c r="W280" s="215"/>
    </row>
    <row r="281" spans="1:23" ht="21" x14ac:dyDescent="0.35">
      <c r="A281" s="226" t="s">
        <v>98</v>
      </c>
      <c r="B281" s="227"/>
      <c r="C281" s="227"/>
      <c r="D281" s="227">
        <f t="shared" ref="D281:K281" si="107">SUM(D275:D280)</f>
        <v>0</v>
      </c>
      <c r="E281" s="227">
        <f t="shared" si="107"/>
        <v>0</v>
      </c>
      <c r="F281" s="227">
        <f t="shared" si="107"/>
        <v>0</v>
      </c>
      <c r="G281" s="227">
        <f t="shared" si="107"/>
        <v>0</v>
      </c>
      <c r="H281" s="227">
        <f t="shared" si="107"/>
        <v>0</v>
      </c>
      <c r="I281" s="227">
        <f t="shared" si="107"/>
        <v>0</v>
      </c>
      <c r="J281" s="227">
        <f t="shared" si="107"/>
        <v>84810</v>
      </c>
      <c r="K281" s="227">
        <f t="shared" si="107"/>
        <v>0</v>
      </c>
      <c r="L281" s="225">
        <f t="shared" si="103"/>
        <v>84810</v>
      </c>
      <c r="M281" s="221"/>
      <c r="N281" s="227">
        <f t="shared" ref="N281:U281" si="108">SUM(N275:N280)</f>
        <v>0</v>
      </c>
      <c r="O281" s="227">
        <f t="shared" si="108"/>
        <v>0</v>
      </c>
      <c r="P281" s="227">
        <f t="shared" si="108"/>
        <v>0</v>
      </c>
      <c r="Q281" s="227">
        <f t="shared" si="108"/>
        <v>0</v>
      </c>
      <c r="R281" s="227">
        <f t="shared" si="108"/>
        <v>0</v>
      </c>
      <c r="S281" s="227">
        <f t="shared" si="108"/>
        <v>0</v>
      </c>
      <c r="T281" s="227">
        <f t="shared" si="108"/>
        <v>0</v>
      </c>
      <c r="U281" s="227">
        <f t="shared" si="108"/>
        <v>0</v>
      </c>
      <c r="V281" s="225">
        <f t="shared" si="104"/>
        <v>0</v>
      </c>
      <c r="W281" s="215"/>
    </row>
    <row r="282" spans="1:23" ht="21" x14ac:dyDescent="0.35">
      <c r="A282" s="772">
        <v>44849</v>
      </c>
      <c r="B282" s="222" t="s">
        <v>2</v>
      </c>
      <c r="C282" s="222" t="s">
        <v>67</v>
      </c>
      <c r="D282" s="222"/>
      <c r="E282" s="222"/>
      <c r="F282" s="222"/>
      <c r="G282" s="222"/>
      <c r="H282" s="222"/>
      <c r="I282" s="245"/>
      <c r="J282" s="245"/>
      <c r="K282" s="222"/>
      <c r="L282" s="222">
        <f t="shared" si="103"/>
        <v>0</v>
      </c>
      <c r="M282" s="224"/>
      <c r="N282" s="222"/>
      <c r="O282" s="222"/>
      <c r="P282" s="222"/>
      <c r="Q282" s="222"/>
      <c r="R282" s="222"/>
      <c r="S282" s="222"/>
      <c r="T282" s="222"/>
      <c r="U282" s="245"/>
      <c r="V282" s="222">
        <f t="shared" si="104"/>
        <v>0</v>
      </c>
      <c r="W282" s="215"/>
    </row>
    <row r="283" spans="1:23" ht="21" x14ac:dyDescent="0.35">
      <c r="A283" s="773"/>
      <c r="B283" s="222" t="s">
        <v>2</v>
      </c>
      <c r="C283" s="222" t="s">
        <v>65</v>
      </c>
      <c r="D283" s="222"/>
      <c r="E283" s="222"/>
      <c r="F283" s="222"/>
      <c r="G283" s="222"/>
      <c r="H283" s="222"/>
      <c r="I283" s="222"/>
      <c r="J283" s="222"/>
      <c r="K283" s="222"/>
      <c r="L283" s="222">
        <f t="shared" si="103"/>
        <v>0</v>
      </c>
      <c r="M283" s="224"/>
      <c r="N283" s="222"/>
      <c r="O283" s="222"/>
      <c r="P283" s="222"/>
      <c r="Q283" s="222"/>
      <c r="R283" s="222"/>
      <c r="S283" s="222"/>
      <c r="T283" s="222"/>
      <c r="U283" s="222"/>
      <c r="V283" s="222">
        <f t="shared" si="104"/>
        <v>0</v>
      </c>
      <c r="W283" s="215"/>
    </row>
    <row r="284" spans="1:23" ht="21" x14ac:dyDescent="0.35">
      <c r="A284" s="773"/>
      <c r="B284" s="222" t="s">
        <v>2</v>
      </c>
      <c r="C284" s="222" t="s">
        <v>74</v>
      </c>
      <c r="D284" s="222"/>
      <c r="E284" s="222"/>
      <c r="F284" s="222"/>
      <c r="G284" s="222"/>
      <c r="H284" s="222"/>
      <c r="I284" s="222"/>
      <c r="J284" s="222"/>
      <c r="K284" s="222"/>
      <c r="L284" s="222">
        <f t="shared" si="103"/>
        <v>0</v>
      </c>
      <c r="M284" s="224"/>
      <c r="N284" s="222"/>
      <c r="O284" s="222"/>
      <c r="P284" s="222"/>
      <c r="Q284" s="222"/>
      <c r="R284" s="222"/>
      <c r="S284" s="222"/>
      <c r="T284" s="222"/>
      <c r="U284" s="222"/>
      <c r="V284" s="222">
        <f t="shared" si="104"/>
        <v>0</v>
      </c>
      <c r="W284" s="215"/>
    </row>
    <row r="285" spans="1:23" ht="21" x14ac:dyDescent="0.35">
      <c r="A285" s="773"/>
      <c r="B285" s="222" t="s">
        <v>2</v>
      </c>
      <c r="C285" s="222" t="s">
        <v>138</v>
      </c>
      <c r="D285" s="222"/>
      <c r="E285" s="222"/>
      <c r="F285" s="222"/>
      <c r="G285" s="222"/>
      <c r="H285" s="222"/>
      <c r="I285" s="222"/>
      <c r="J285" s="222"/>
      <c r="K285" s="222"/>
      <c r="L285" s="222">
        <f t="shared" si="103"/>
        <v>0</v>
      </c>
      <c r="M285" s="224"/>
      <c r="N285" s="222"/>
      <c r="O285" s="222"/>
      <c r="P285" s="222"/>
      <c r="Q285" s="222"/>
      <c r="R285" s="222"/>
      <c r="S285" s="222"/>
      <c r="T285" s="222"/>
      <c r="U285" s="222"/>
      <c r="V285" s="222">
        <f t="shared" si="104"/>
        <v>0</v>
      </c>
      <c r="W285" s="215"/>
    </row>
    <row r="286" spans="1:23" ht="21" x14ac:dyDescent="0.35">
      <c r="A286" s="773"/>
      <c r="B286" s="222" t="s">
        <v>2</v>
      </c>
      <c r="C286" s="222" t="s">
        <v>167</v>
      </c>
      <c r="D286" s="222"/>
      <c r="E286" s="222"/>
      <c r="F286" s="222"/>
      <c r="G286" s="245"/>
      <c r="H286" s="245"/>
      <c r="I286" s="245"/>
      <c r="J286" s="222"/>
      <c r="K286" s="222"/>
      <c r="L286" s="222">
        <f t="shared" si="103"/>
        <v>0</v>
      </c>
      <c r="M286" s="224"/>
      <c r="N286" s="222"/>
      <c r="O286" s="222"/>
      <c r="P286" s="222"/>
      <c r="Q286" s="222"/>
      <c r="R286" s="222"/>
      <c r="S286" s="222"/>
      <c r="T286" s="222"/>
      <c r="U286" s="245"/>
      <c r="V286" s="222">
        <f t="shared" si="104"/>
        <v>0</v>
      </c>
      <c r="W286" s="215"/>
    </row>
    <row r="287" spans="1:23" ht="21" x14ac:dyDescent="0.35">
      <c r="A287" s="774"/>
      <c r="B287" s="222" t="s">
        <v>2</v>
      </c>
      <c r="C287" s="222" t="s">
        <v>292</v>
      </c>
      <c r="D287" s="222"/>
      <c r="E287" s="222"/>
      <c r="F287" s="222"/>
      <c r="G287" s="222"/>
      <c r="H287" s="222"/>
      <c r="I287" s="222"/>
      <c r="J287" s="222"/>
      <c r="K287" s="222"/>
      <c r="L287" s="222">
        <f t="shared" si="103"/>
        <v>0</v>
      </c>
      <c r="M287" s="224"/>
      <c r="N287" s="222"/>
      <c r="O287" s="229"/>
      <c r="P287" s="222"/>
      <c r="Q287" s="222"/>
      <c r="R287" s="222"/>
      <c r="S287" s="222"/>
      <c r="T287" s="222"/>
      <c r="U287" s="222"/>
      <c r="V287" s="222">
        <f t="shared" si="104"/>
        <v>0</v>
      </c>
      <c r="W287" s="215"/>
    </row>
    <row r="288" spans="1:23" ht="21" x14ac:dyDescent="0.35">
      <c r="A288" s="226" t="s">
        <v>99</v>
      </c>
      <c r="B288" s="227"/>
      <c r="C288" s="227"/>
      <c r="D288" s="227">
        <f t="shared" ref="D288:K288" si="109">SUM(D282:D287)</f>
        <v>0</v>
      </c>
      <c r="E288" s="227">
        <f t="shared" si="109"/>
        <v>0</v>
      </c>
      <c r="F288" s="227">
        <f t="shared" si="109"/>
        <v>0</v>
      </c>
      <c r="G288" s="227">
        <f t="shared" si="109"/>
        <v>0</v>
      </c>
      <c r="H288" s="227">
        <f t="shared" si="109"/>
        <v>0</v>
      </c>
      <c r="I288" s="227">
        <f t="shared" si="109"/>
        <v>0</v>
      </c>
      <c r="J288" s="227">
        <f t="shared" si="109"/>
        <v>0</v>
      </c>
      <c r="K288" s="227">
        <f t="shared" si="109"/>
        <v>0</v>
      </c>
      <c r="L288" s="225">
        <f t="shared" si="103"/>
        <v>0</v>
      </c>
      <c r="M288" s="221"/>
      <c r="N288" s="227">
        <f t="shared" ref="N288:U288" si="110">SUM(N282:N287)</f>
        <v>0</v>
      </c>
      <c r="O288" s="227">
        <f t="shared" si="110"/>
        <v>0</v>
      </c>
      <c r="P288" s="227">
        <f t="shared" si="110"/>
        <v>0</v>
      </c>
      <c r="Q288" s="227">
        <f t="shared" si="110"/>
        <v>0</v>
      </c>
      <c r="R288" s="227">
        <f t="shared" si="110"/>
        <v>0</v>
      </c>
      <c r="S288" s="227">
        <f t="shared" si="110"/>
        <v>0</v>
      </c>
      <c r="T288" s="227">
        <f t="shared" si="110"/>
        <v>0</v>
      </c>
      <c r="U288" s="227">
        <f t="shared" si="110"/>
        <v>0</v>
      </c>
      <c r="V288" s="225">
        <f t="shared" si="104"/>
        <v>0</v>
      </c>
      <c r="W288" s="215"/>
    </row>
    <row r="289" spans="1:23" ht="21" x14ac:dyDescent="0.35">
      <c r="A289" s="772">
        <v>44850</v>
      </c>
      <c r="B289" s="222" t="s">
        <v>2</v>
      </c>
      <c r="C289" s="222" t="s">
        <v>67</v>
      </c>
      <c r="D289" s="222"/>
      <c r="E289" s="222"/>
      <c r="F289" s="222"/>
      <c r="G289" s="601"/>
      <c r="H289" s="222"/>
      <c r="I289" s="222"/>
      <c r="J289" s="222"/>
      <c r="K289" s="222"/>
      <c r="L289" s="222">
        <f t="shared" si="103"/>
        <v>0</v>
      </c>
      <c r="M289" s="224"/>
      <c r="N289" s="222"/>
      <c r="O289" s="222"/>
      <c r="P289" s="222"/>
      <c r="Q289" s="222"/>
      <c r="R289" s="222"/>
      <c r="S289" s="222"/>
      <c r="T289" s="222"/>
      <c r="U289" s="601"/>
      <c r="V289" s="222">
        <f t="shared" si="104"/>
        <v>0</v>
      </c>
      <c r="W289" s="215"/>
    </row>
    <row r="290" spans="1:23" ht="21" x14ac:dyDescent="0.35">
      <c r="A290" s="773"/>
      <c r="B290" s="222" t="s">
        <v>2</v>
      </c>
      <c r="C290" s="222" t="s">
        <v>65</v>
      </c>
      <c r="D290" s="222"/>
      <c r="E290" s="222"/>
      <c r="F290" s="245"/>
      <c r="G290" s="222"/>
      <c r="H290" s="222"/>
      <c r="I290" s="222"/>
      <c r="J290" s="222"/>
      <c r="K290" s="222"/>
      <c r="L290" s="222">
        <f t="shared" si="103"/>
        <v>0</v>
      </c>
      <c r="M290" s="224"/>
      <c r="N290" s="222"/>
      <c r="O290" s="222"/>
      <c r="P290" s="222"/>
      <c r="Q290" s="222"/>
      <c r="R290" s="222"/>
      <c r="S290" s="222"/>
      <c r="T290" s="222"/>
      <c r="U290" s="245"/>
      <c r="V290" s="222">
        <f t="shared" si="104"/>
        <v>0</v>
      </c>
      <c r="W290" s="215"/>
    </row>
    <row r="291" spans="1:23" ht="21" x14ac:dyDescent="0.35">
      <c r="A291" s="773"/>
      <c r="B291" s="222" t="s">
        <v>2</v>
      </c>
      <c r="C291" s="222" t="s">
        <v>74</v>
      </c>
      <c r="D291" s="222"/>
      <c r="E291" s="222"/>
      <c r="F291" s="245"/>
      <c r="G291" s="245"/>
      <c r="H291" s="222"/>
      <c r="I291" s="245"/>
      <c r="J291" s="222"/>
      <c r="K291" s="222"/>
      <c r="L291" s="222">
        <f t="shared" si="103"/>
        <v>0</v>
      </c>
      <c r="M291" s="224"/>
      <c r="N291" s="222"/>
      <c r="O291" s="222"/>
      <c r="P291" s="222"/>
      <c r="Q291" s="222"/>
      <c r="R291" s="222"/>
      <c r="S291" s="222"/>
      <c r="T291" s="245"/>
      <c r="U291" s="245"/>
      <c r="V291" s="222">
        <f t="shared" si="104"/>
        <v>0</v>
      </c>
      <c r="W291" s="215"/>
    </row>
    <row r="292" spans="1:23" ht="21" x14ac:dyDescent="0.35">
      <c r="A292" s="773"/>
      <c r="B292" s="222" t="s">
        <v>2</v>
      </c>
      <c r="C292" s="222" t="s">
        <v>138</v>
      </c>
      <c r="D292" s="222"/>
      <c r="E292" s="222"/>
      <c r="F292" s="222"/>
      <c r="G292" s="222"/>
      <c r="H292" s="222"/>
      <c r="I292" s="244"/>
      <c r="J292" s="245"/>
      <c r="K292" s="222"/>
      <c r="L292" s="222">
        <f t="shared" si="103"/>
        <v>0</v>
      </c>
      <c r="M292" s="224"/>
      <c r="N292" s="222"/>
      <c r="O292" s="222"/>
      <c r="P292" s="222"/>
      <c r="Q292" s="222"/>
      <c r="R292" s="222"/>
      <c r="S292" s="222"/>
      <c r="T292" s="222"/>
      <c r="U292" s="535"/>
      <c r="V292" s="222">
        <f t="shared" si="104"/>
        <v>0</v>
      </c>
      <c r="W292" s="215"/>
    </row>
    <row r="293" spans="1:23" ht="21" x14ac:dyDescent="0.35">
      <c r="A293" s="773"/>
      <c r="B293" s="222" t="s">
        <v>2</v>
      </c>
      <c r="C293" s="222" t="s">
        <v>167</v>
      </c>
      <c r="D293" s="222"/>
      <c r="E293" s="222"/>
      <c r="F293" s="222"/>
      <c r="G293" s="222"/>
      <c r="H293" s="222"/>
      <c r="I293" s="222"/>
      <c r="J293" s="222"/>
      <c r="K293" s="222"/>
      <c r="L293" s="222">
        <f t="shared" si="103"/>
        <v>0</v>
      </c>
      <c r="M293" s="224"/>
      <c r="N293" s="222"/>
      <c r="O293" s="229"/>
      <c r="P293" s="222"/>
      <c r="Q293" s="222"/>
      <c r="R293" s="222"/>
      <c r="S293" s="222"/>
      <c r="T293" s="222"/>
      <c r="U293" s="222"/>
      <c r="V293" s="222">
        <f t="shared" si="104"/>
        <v>0</v>
      </c>
      <c r="W293" s="215"/>
    </row>
    <row r="294" spans="1:23" ht="21" x14ac:dyDescent="0.35">
      <c r="A294" s="774"/>
      <c r="B294" s="222" t="s">
        <v>2</v>
      </c>
      <c r="C294" s="222" t="s">
        <v>292</v>
      </c>
      <c r="D294" s="222"/>
      <c r="E294" s="222"/>
      <c r="F294" s="222"/>
      <c r="G294" s="222"/>
      <c r="H294" s="222"/>
      <c r="I294" s="222"/>
      <c r="J294" s="222"/>
      <c r="K294" s="222"/>
      <c r="L294" s="222">
        <f t="shared" si="103"/>
        <v>0</v>
      </c>
      <c r="M294" s="224"/>
      <c r="N294" s="222"/>
      <c r="O294" s="229"/>
      <c r="P294" s="222"/>
      <c r="Q294" s="222"/>
      <c r="R294" s="222"/>
      <c r="S294" s="222"/>
      <c r="T294" s="222"/>
      <c r="U294" s="222"/>
      <c r="V294" s="222">
        <f t="shared" si="104"/>
        <v>0</v>
      </c>
      <c r="W294" s="215"/>
    </row>
    <row r="295" spans="1:23" ht="21" x14ac:dyDescent="0.35">
      <c r="A295" s="226" t="s">
        <v>100</v>
      </c>
      <c r="B295" s="227"/>
      <c r="C295" s="227"/>
      <c r="D295" s="227">
        <f t="shared" ref="D295:K295" si="111">SUM(D289:D294)</f>
        <v>0</v>
      </c>
      <c r="E295" s="227">
        <f t="shared" si="111"/>
        <v>0</v>
      </c>
      <c r="F295" s="227">
        <f t="shared" si="111"/>
        <v>0</v>
      </c>
      <c r="G295" s="227">
        <f t="shared" si="111"/>
        <v>0</v>
      </c>
      <c r="H295" s="227">
        <f t="shared" si="111"/>
        <v>0</v>
      </c>
      <c r="I295" s="227">
        <f t="shared" si="111"/>
        <v>0</v>
      </c>
      <c r="J295" s="227">
        <f t="shared" si="111"/>
        <v>0</v>
      </c>
      <c r="K295" s="227">
        <f t="shared" si="111"/>
        <v>0</v>
      </c>
      <c r="L295" s="225">
        <f t="shared" si="103"/>
        <v>0</v>
      </c>
      <c r="M295" s="221"/>
      <c r="N295" s="227">
        <f t="shared" ref="N295:U295" si="112">SUM(N289:N294)</f>
        <v>0</v>
      </c>
      <c r="O295" s="227">
        <f t="shared" si="112"/>
        <v>0</v>
      </c>
      <c r="P295" s="227">
        <f t="shared" si="112"/>
        <v>0</v>
      </c>
      <c r="Q295" s="227">
        <f t="shared" si="112"/>
        <v>0</v>
      </c>
      <c r="R295" s="227">
        <f t="shared" si="112"/>
        <v>0</v>
      </c>
      <c r="S295" s="227">
        <f t="shared" si="112"/>
        <v>0</v>
      </c>
      <c r="T295" s="227">
        <f t="shared" si="112"/>
        <v>0</v>
      </c>
      <c r="U295" s="227">
        <f t="shared" si="112"/>
        <v>0</v>
      </c>
      <c r="V295" s="225">
        <f t="shared" si="104"/>
        <v>0</v>
      </c>
      <c r="W295" s="215"/>
    </row>
    <row r="296" spans="1:23" ht="21" x14ac:dyDescent="0.35">
      <c r="A296" s="772">
        <v>44851</v>
      </c>
      <c r="B296" s="222" t="s">
        <v>2</v>
      </c>
      <c r="C296" s="222" t="s">
        <v>67</v>
      </c>
      <c r="D296" s="222"/>
      <c r="E296" s="222"/>
      <c r="F296" s="222"/>
      <c r="G296" s="222"/>
      <c r="H296" s="222"/>
      <c r="I296" s="222"/>
      <c r="J296" s="222"/>
      <c r="K296" s="222"/>
      <c r="L296" s="222">
        <f t="shared" si="103"/>
        <v>0</v>
      </c>
      <c r="M296" s="224"/>
      <c r="N296" s="222"/>
      <c r="O296" s="222"/>
      <c r="P296" s="222"/>
      <c r="Q296" s="222"/>
      <c r="R296" s="222"/>
      <c r="S296" s="222"/>
      <c r="T296" s="222"/>
      <c r="U296" s="222"/>
      <c r="V296" s="222">
        <f t="shared" si="104"/>
        <v>0</v>
      </c>
      <c r="W296" s="215"/>
    </row>
    <row r="297" spans="1:23" ht="21" x14ac:dyDescent="0.35">
      <c r="A297" s="773"/>
      <c r="B297" s="222" t="s">
        <v>2</v>
      </c>
      <c r="C297" s="222" t="s">
        <v>65</v>
      </c>
      <c r="D297" s="222"/>
      <c r="E297" s="222"/>
      <c r="F297" s="222"/>
      <c r="G297" s="222"/>
      <c r="H297" s="222"/>
      <c r="I297" s="222"/>
      <c r="J297" s="222"/>
      <c r="K297" s="222"/>
      <c r="L297" s="222">
        <f t="shared" si="103"/>
        <v>0</v>
      </c>
      <c r="M297" s="224"/>
      <c r="N297" s="222"/>
      <c r="O297" s="222"/>
      <c r="P297" s="222"/>
      <c r="Q297" s="222"/>
      <c r="R297" s="222"/>
      <c r="S297" s="222"/>
      <c r="T297" s="222"/>
      <c r="U297" s="222"/>
      <c r="V297" s="222">
        <f t="shared" si="104"/>
        <v>0</v>
      </c>
      <c r="W297" s="215"/>
    </row>
    <row r="298" spans="1:23" ht="21" x14ac:dyDescent="0.35">
      <c r="A298" s="773"/>
      <c r="B298" s="222" t="s">
        <v>2</v>
      </c>
      <c r="C298" s="222" t="s">
        <v>74</v>
      </c>
      <c r="D298" s="222"/>
      <c r="E298" s="222"/>
      <c r="F298" s="222"/>
      <c r="G298" s="222"/>
      <c r="H298" s="222"/>
      <c r="I298" s="222"/>
      <c r="J298" s="222"/>
      <c r="K298" s="222"/>
      <c r="L298" s="222">
        <f t="shared" si="103"/>
        <v>0</v>
      </c>
      <c r="M298" s="224"/>
      <c r="N298" s="222"/>
      <c r="O298" s="222"/>
      <c r="P298" s="222"/>
      <c r="Q298" s="222"/>
      <c r="R298" s="222"/>
      <c r="S298" s="222"/>
      <c r="T298" s="222"/>
      <c r="U298" s="222"/>
      <c r="V298" s="222">
        <f t="shared" si="104"/>
        <v>0</v>
      </c>
      <c r="W298" s="215"/>
    </row>
    <row r="299" spans="1:23" ht="21" x14ac:dyDescent="0.35">
      <c r="A299" s="773"/>
      <c r="B299" s="222" t="s">
        <v>2</v>
      </c>
      <c r="C299" s="222" t="s">
        <v>138</v>
      </c>
      <c r="D299" s="222"/>
      <c r="E299" s="222"/>
      <c r="F299" s="245"/>
      <c r="G299" s="222"/>
      <c r="H299" s="222"/>
      <c r="I299" s="222"/>
      <c r="J299" s="245"/>
      <c r="K299" s="222"/>
      <c r="L299" s="222">
        <f t="shared" si="103"/>
        <v>0</v>
      </c>
      <c r="M299" s="224"/>
      <c r="N299" s="222"/>
      <c r="O299" s="222"/>
      <c r="P299" s="222"/>
      <c r="Q299" s="222"/>
      <c r="R299" s="222"/>
      <c r="S299" s="222"/>
      <c r="T299" s="222"/>
      <c r="U299" s="222"/>
      <c r="V299" s="222">
        <f t="shared" si="104"/>
        <v>0</v>
      </c>
      <c r="W299" s="215"/>
    </row>
    <row r="300" spans="1:23" ht="21" x14ac:dyDescent="0.35">
      <c r="A300" s="773"/>
      <c r="B300" s="222" t="s">
        <v>2</v>
      </c>
      <c r="C300" s="222" t="s">
        <v>167</v>
      </c>
      <c r="D300" s="222"/>
      <c r="E300" s="222"/>
      <c r="F300" s="222"/>
      <c r="G300" s="222"/>
      <c r="H300" s="222"/>
      <c r="I300" s="222"/>
      <c r="J300" s="222"/>
      <c r="K300" s="222"/>
      <c r="L300" s="222">
        <f t="shared" si="103"/>
        <v>0</v>
      </c>
      <c r="M300" s="224"/>
      <c r="N300" s="222"/>
      <c r="O300" s="229"/>
      <c r="P300" s="229"/>
      <c r="Q300" s="222"/>
      <c r="R300" s="222"/>
      <c r="S300" s="222"/>
      <c r="T300" s="222"/>
      <c r="U300" s="222"/>
      <c r="V300" s="222">
        <f t="shared" si="104"/>
        <v>0</v>
      </c>
      <c r="W300" s="215"/>
    </row>
    <row r="301" spans="1:23" ht="21" x14ac:dyDescent="0.35">
      <c r="A301" s="774"/>
      <c r="B301" s="222" t="s">
        <v>2</v>
      </c>
      <c r="C301" s="222" t="s">
        <v>292</v>
      </c>
      <c r="D301" s="222"/>
      <c r="E301" s="222"/>
      <c r="F301" s="222"/>
      <c r="G301" s="222"/>
      <c r="H301" s="222"/>
      <c r="I301" s="222"/>
      <c r="J301" s="222"/>
      <c r="K301" s="222"/>
      <c r="L301" s="222">
        <f t="shared" si="103"/>
        <v>0</v>
      </c>
      <c r="M301" s="224"/>
      <c r="N301" s="222"/>
      <c r="O301" s="229"/>
      <c r="P301" s="222"/>
      <c r="Q301" s="222"/>
      <c r="R301" s="222"/>
      <c r="S301" s="222"/>
      <c r="T301" s="222"/>
      <c r="U301" s="222"/>
      <c r="V301" s="222">
        <f t="shared" si="104"/>
        <v>0</v>
      </c>
      <c r="W301" s="215"/>
    </row>
    <row r="302" spans="1:23" ht="21" x14ac:dyDescent="0.35">
      <c r="A302" s="226" t="s">
        <v>101</v>
      </c>
      <c r="B302" s="227"/>
      <c r="C302" s="227"/>
      <c r="D302" s="227">
        <f t="shared" ref="D302:K302" si="113">SUM(D296:D301)</f>
        <v>0</v>
      </c>
      <c r="E302" s="227">
        <f t="shared" si="113"/>
        <v>0</v>
      </c>
      <c r="F302" s="227">
        <f t="shared" si="113"/>
        <v>0</v>
      </c>
      <c r="G302" s="227">
        <f t="shared" si="113"/>
        <v>0</v>
      </c>
      <c r="H302" s="227">
        <f t="shared" si="113"/>
        <v>0</v>
      </c>
      <c r="I302" s="227">
        <f t="shared" si="113"/>
        <v>0</v>
      </c>
      <c r="J302" s="227">
        <f t="shared" si="113"/>
        <v>0</v>
      </c>
      <c r="K302" s="227">
        <f t="shared" si="113"/>
        <v>0</v>
      </c>
      <c r="L302" s="225">
        <f t="shared" si="103"/>
        <v>0</v>
      </c>
      <c r="M302" s="221"/>
      <c r="N302" s="227">
        <f t="shared" ref="N302:U302" si="114">SUM(N296:N301)</f>
        <v>0</v>
      </c>
      <c r="O302" s="227">
        <f t="shared" si="114"/>
        <v>0</v>
      </c>
      <c r="P302" s="227">
        <f t="shared" si="114"/>
        <v>0</v>
      </c>
      <c r="Q302" s="227">
        <f t="shared" si="114"/>
        <v>0</v>
      </c>
      <c r="R302" s="227">
        <f t="shared" si="114"/>
        <v>0</v>
      </c>
      <c r="S302" s="227">
        <f t="shared" si="114"/>
        <v>0</v>
      </c>
      <c r="T302" s="227">
        <f t="shared" si="114"/>
        <v>0</v>
      </c>
      <c r="U302" s="227">
        <f t="shared" si="114"/>
        <v>0</v>
      </c>
      <c r="V302" s="225">
        <f t="shared" si="104"/>
        <v>0</v>
      </c>
      <c r="W302" s="215"/>
    </row>
    <row r="303" spans="1:23" ht="21" x14ac:dyDescent="0.35">
      <c r="A303" s="772">
        <v>44852</v>
      </c>
      <c r="B303" s="222" t="s">
        <v>2</v>
      </c>
      <c r="C303" s="222" t="s">
        <v>67</v>
      </c>
      <c r="D303" s="245"/>
      <c r="E303" s="222"/>
      <c r="F303" s="222"/>
      <c r="G303" s="245"/>
      <c r="H303" s="245"/>
      <c r="I303" s="222"/>
      <c r="J303" s="245"/>
      <c r="K303" s="222"/>
      <c r="L303" s="222">
        <f t="shared" si="103"/>
        <v>0</v>
      </c>
      <c r="M303" s="224"/>
      <c r="N303" s="222"/>
      <c r="O303" s="229"/>
      <c r="P303" s="222"/>
      <c r="Q303" s="222"/>
      <c r="R303" s="222"/>
      <c r="S303" s="222"/>
      <c r="T303" s="222"/>
      <c r="U303" s="245"/>
      <c r="V303" s="222">
        <f t="shared" si="104"/>
        <v>0</v>
      </c>
      <c r="W303" s="215"/>
    </row>
    <row r="304" spans="1:23" ht="21" x14ac:dyDescent="0.35">
      <c r="A304" s="773"/>
      <c r="B304" s="222" t="s">
        <v>2</v>
      </c>
      <c r="C304" s="222" t="s">
        <v>65</v>
      </c>
      <c r="D304" s="222"/>
      <c r="E304" s="222"/>
      <c r="F304" s="222"/>
      <c r="G304" s="245"/>
      <c r="H304" s="222"/>
      <c r="I304" s="222"/>
      <c r="J304" s="222"/>
      <c r="K304" s="222"/>
      <c r="L304" s="222">
        <f t="shared" si="103"/>
        <v>0</v>
      </c>
      <c r="M304" s="224"/>
      <c r="N304" s="222"/>
      <c r="O304" s="222"/>
      <c r="P304" s="222"/>
      <c r="Q304" s="222"/>
      <c r="R304" s="222"/>
      <c r="S304" s="222"/>
      <c r="T304" s="222"/>
      <c r="U304" s="245"/>
      <c r="V304" s="222">
        <f t="shared" si="104"/>
        <v>0</v>
      </c>
      <c r="W304" s="215"/>
    </row>
    <row r="305" spans="1:23" ht="21" x14ac:dyDescent="0.35">
      <c r="A305" s="773"/>
      <c r="B305" s="222" t="s">
        <v>2</v>
      </c>
      <c r="C305" s="222" t="s">
        <v>74</v>
      </c>
      <c r="D305" s="535"/>
      <c r="E305" s="222"/>
      <c r="F305" s="222"/>
      <c r="G305" s="222"/>
      <c r="H305" s="222"/>
      <c r="I305" s="222"/>
      <c r="J305" s="222"/>
      <c r="K305" s="222"/>
      <c r="L305" s="222">
        <f t="shared" si="103"/>
        <v>0</v>
      </c>
      <c r="M305" s="224"/>
      <c r="N305" s="229"/>
      <c r="O305" s="229"/>
      <c r="P305" s="229"/>
      <c r="Q305" s="222"/>
      <c r="R305" s="222"/>
      <c r="S305" s="222"/>
      <c r="T305" s="222"/>
      <c r="U305" s="245"/>
      <c r="V305" s="222">
        <f t="shared" si="104"/>
        <v>0</v>
      </c>
      <c r="W305" s="215"/>
    </row>
    <row r="306" spans="1:23" ht="21" x14ac:dyDescent="0.35">
      <c r="A306" s="773"/>
      <c r="B306" s="222" t="s">
        <v>2</v>
      </c>
      <c r="C306" s="222" t="s">
        <v>138</v>
      </c>
      <c r="D306" s="222"/>
      <c r="E306" s="222"/>
      <c r="F306" s="222"/>
      <c r="G306" s="222"/>
      <c r="H306" s="222"/>
      <c r="I306" s="222"/>
      <c r="J306" s="222"/>
      <c r="K306" s="222"/>
      <c r="L306" s="222">
        <f t="shared" si="103"/>
        <v>0</v>
      </c>
      <c r="M306" s="224"/>
      <c r="N306" s="229"/>
      <c r="O306" s="229"/>
      <c r="P306" s="229"/>
      <c r="Q306" s="222"/>
      <c r="R306" s="222"/>
      <c r="S306" s="222"/>
      <c r="T306" s="222"/>
      <c r="U306" s="222"/>
      <c r="V306" s="222">
        <f t="shared" si="104"/>
        <v>0</v>
      </c>
      <c r="W306" s="215"/>
    </row>
    <row r="307" spans="1:23" ht="21" x14ac:dyDescent="0.35">
      <c r="A307" s="773"/>
      <c r="B307" s="222" t="s">
        <v>2</v>
      </c>
      <c r="C307" s="222" t="s">
        <v>167</v>
      </c>
      <c r="D307" s="222"/>
      <c r="E307" s="222"/>
      <c r="F307" s="222"/>
      <c r="G307" s="245"/>
      <c r="H307" s="222"/>
      <c r="I307" s="222"/>
      <c r="J307" s="245"/>
      <c r="K307" s="222"/>
      <c r="L307" s="222">
        <f t="shared" si="103"/>
        <v>0</v>
      </c>
      <c r="M307" s="224"/>
      <c r="N307" s="229"/>
      <c r="O307" s="229"/>
      <c r="P307" s="229"/>
      <c r="Q307" s="222"/>
      <c r="R307" s="222"/>
      <c r="S307" s="222"/>
      <c r="T307" s="222"/>
      <c r="U307" s="245"/>
      <c r="V307" s="222">
        <f t="shared" si="104"/>
        <v>0</v>
      </c>
      <c r="W307" s="215"/>
    </row>
    <row r="308" spans="1:23" ht="21" x14ac:dyDescent="0.35">
      <c r="A308" s="774"/>
      <c r="B308" s="222" t="s">
        <v>2</v>
      </c>
      <c r="C308" s="222" t="s">
        <v>292</v>
      </c>
      <c r="D308" s="222"/>
      <c r="E308" s="222"/>
      <c r="F308" s="222"/>
      <c r="G308" s="222"/>
      <c r="H308" s="222"/>
      <c r="I308" s="222"/>
      <c r="J308" s="222"/>
      <c r="K308" s="222"/>
      <c r="L308" s="222">
        <f t="shared" si="103"/>
        <v>0</v>
      </c>
      <c r="M308" s="224"/>
      <c r="N308" s="229"/>
      <c r="O308" s="229"/>
      <c r="P308" s="229"/>
      <c r="Q308" s="222"/>
      <c r="R308" s="222"/>
      <c r="S308" s="222"/>
      <c r="T308" s="222"/>
      <c r="U308" s="222"/>
      <c r="V308" s="222">
        <f t="shared" si="104"/>
        <v>0</v>
      </c>
      <c r="W308" s="215"/>
    </row>
    <row r="309" spans="1:23" ht="21" x14ac:dyDescent="0.35">
      <c r="A309" s="226" t="s">
        <v>102</v>
      </c>
      <c r="B309" s="227"/>
      <c r="C309" s="227"/>
      <c r="D309" s="227">
        <f>SUM(D303:D308)</f>
        <v>0</v>
      </c>
      <c r="E309" s="227">
        <f>SUM(E303:E308)</f>
        <v>0</v>
      </c>
      <c r="F309" s="227">
        <f>SUM(F303:F308)</f>
        <v>0</v>
      </c>
      <c r="G309" s="227">
        <f>SUM(G303:G307)</f>
        <v>0</v>
      </c>
      <c r="H309" s="227">
        <f>SUM(H303:H308)</f>
        <v>0</v>
      </c>
      <c r="I309" s="227">
        <f>SUM(I303:I308)</f>
        <v>0</v>
      </c>
      <c r="J309" s="227">
        <f>SUM(J303:J308)</f>
        <v>0</v>
      </c>
      <c r="K309" s="227">
        <f>SUM(K303:K308)</f>
        <v>0</v>
      </c>
      <c r="L309" s="225">
        <f t="shared" si="103"/>
        <v>0</v>
      </c>
      <c r="M309" s="221"/>
      <c r="N309" s="227">
        <f t="shared" ref="N309:U309" si="115">SUM(N303:N308)</f>
        <v>0</v>
      </c>
      <c r="O309" s="227">
        <f t="shared" si="115"/>
        <v>0</v>
      </c>
      <c r="P309" s="227">
        <f t="shared" si="115"/>
        <v>0</v>
      </c>
      <c r="Q309" s="227">
        <f t="shared" si="115"/>
        <v>0</v>
      </c>
      <c r="R309" s="227">
        <f t="shared" si="115"/>
        <v>0</v>
      </c>
      <c r="S309" s="227">
        <f t="shared" si="115"/>
        <v>0</v>
      </c>
      <c r="T309" s="227">
        <f t="shared" si="115"/>
        <v>0</v>
      </c>
      <c r="U309" s="227">
        <f t="shared" si="115"/>
        <v>0</v>
      </c>
      <c r="V309" s="225">
        <f t="shared" si="104"/>
        <v>0</v>
      </c>
      <c r="W309" s="215"/>
    </row>
    <row r="310" spans="1:23" ht="21" x14ac:dyDescent="0.35">
      <c r="A310" s="772">
        <v>44853</v>
      </c>
      <c r="B310" s="222" t="s">
        <v>2</v>
      </c>
      <c r="C310" s="222" t="s">
        <v>67</v>
      </c>
      <c r="D310" s="222"/>
      <c r="E310" s="222"/>
      <c r="F310" s="222"/>
      <c r="G310" s="222"/>
      <c r="H310" s="222"/>
      <c r="I310" s="222"/>
      <c r="J310" s="245"/>
      <c r="K310" s="222"/>
      <c r="L310" s="222">
        <f t="shared" si="103"/>
        <v>0</v>
      </c>
      <c r="M310" s="224"/>
      <c r="N310" s="222"/>
      <c r="O310" s="222"/>
      <c r="P310" s="222"/>
      <c r="Q310" s="222"/>
      <c r="R310" s="222"/>
      <c r="S310" s="222"/>
      <c r="T310" s="222"/>
      <c r="U310" s="245"/>
      <c r="V310" s="222">
        <f t="shared" si="104"/>
        <v>0</v>
      </c>
      <c r="W310" s="215"/>
    </row>
    <row r="311" spans="1:23" ht="21" x14ac:dyDescent="0.35">
      <c r="A311" s="773"/>
      <c r="B311" s="222" t="s">
        <v>2</v>
      </c>
      <c r="C311" s="222" t="s">
        <v>65</v>
      </c>
      <c r="D311" s="222"/>
      <c r="E311" s="222"/>
      <c r="F311" s="222"/>
      <c r="G311" s="222"/>
      <c r="H311" s="222"/>
      <c r="I311" s="222"/>
      <c r="J311" s="245"/>
      <c r="K311" s="222"/>
      <c r="L311" s="222">
        <f t="shared" si="103"/>
        <v>0</v>
      </c>
      <c r="M311" s="224"/>
      <c r="N311" s="222"/>
      <c r="O311" s="222"/>
      <c r="P311" s="222"/>
      <c r="Q311" s="222"/>
      <c r="R311" s="222"/>
      <c r="S311" s="222"/>
      <c r="T311" s="222"/>
      <c r="U311" s="245"/>
      <c r="V311" s="222">
        <f t="shared" si="104"/>
        <v>0</v>
      </c>
      <c r="W311" s="215"/>
    </row>
    <row r="312" spans="1:23" ht="21" x14ac:dyDescent="0.35">
      <c r="A312" s="773"/>
      <c r="B312" s="222" t="s">
        <v>2</v>
      </c>
      <c r="C312" s="222" t="s">
        <v>74</v>
      </c>
      <c r="D312" s="222"/>
      <c r="E312" s="222"/>
      <c r="F312" s="222"/>
      <c r="G312" s="222"/>
      <c r="H312" s="222"/>
      <c r="I312" s="222"/>
      <c r="J312" s="222"/>
      <c r="K312" s="222"/>
      <c r="L312" s="222">
        <f t="shared" si="103"/>
        <v>0</v>
      </c>
      <c r="M312" s="224"/>
      <c r="N312" s="229"/>
      <c r="O312" s="229"/>
      <c r="P312" s="229"/>
      <c r="Q312" s="229"/>
      <c r="R312" s="229"/>
      <c r="S312" s="222"/>
      <c r="T312" s="222"/>
      <c r="U312" s="222"/>
      <c r="V312" s="222">
        <f t="shared" si="104"/>
        <v>0</v>
      </c>
      <c r="W312" s="215"/>
    </row>
    <row r="313" spans="1:23" ht="21" x14ac:dyDescent="0.35">
      <c r="A313" s="773"/>
      <c r="B313" s="222" t="s">
        <v>2</v>
      </c>
      <c r="C313" s="222" t="s">
        <v>138</v>
      </c>
      <c r="D313" s="222"/>
      <c r="E313" s="222"/>
      <c r="F313" s="245"/>
      <c r="G313" s="222"/>
      <c r="H313" s="222"/>
      <c r="I313" s="222"/>
      <c r="J313" s="245"/>
      <c r="K313" s="222"/>
      <c r="L313" s="222">
        <f t="shared" si="103"/>
        <v>0</v>
      </c>
      <c r="M313" s="224"/>
      <c r="N313" s="229"/>
      <c r="O313" s="229"/>
      <c r="P313" s="229"/>
      <c r="Q313" s="229"/>
      <c r="R313" s="229"/>
      <c r="S313" s="222"/>
      <c r="T313" s="222"/>
      <c r="U313" s="245"/>
      <c r="V313" s="222">
        <f t="shared" si="104"/>
        <v>0</v>
      </c>
      <c r="W313" s="215"/>
    </row>
    <row r="314" spans="1:23" ht="21" x14ac:dyDescent="0.35">
      <c r="A314" s="773"/>
      <c r="B314" s="222" t="s">
        <v>2</v>
      </c>
      <c r="C314" s="222" t="s">
        <v>167</v>
      </c>
      <c r="D314" s="222"/>
      <c r="E314" s="222"/>
      <c r="F314" s="245"/>
      <c r="G314" s="222"/>
      <c r="H314" s="222"/>
      <c r="I314" s="222"/>
      <c r="J314" s="222"/>
      <c r="K314" s="222"/>
      <c r="L314" s="222">
        <f t="shared" si="103"/>
        <v>0</v>
      </c>
      <c r="M314" s="224"/>
      <c r="N314" s="229"/>
      <c r="O314" s="229"/>
      <c r="P314" s="229"/>
      <c r="Q314" s="229"/>
      <c r="R314" s="229"/>
      <c r="S314" s="222"/>
      <c r="T314" s="222"/>
      <c r="U314" s="245"/>
      <c r="V314" s="222">
        <f t="shared" si="104"/>
        <v>0</v>
      </c>
      <c r="W314" s="215"/>
    </row>
    <row r="315" spans="1:23" ht="21" x14ac:dyDescent="0.35">
      <c r="A315" s="774"/>
      <c r="B315" s="222" t="s">
        <v>2</v>
      </c>
      <c r="C315" s="222" t="s">
        <v>292</v>
      </c>
      <c r="D315" s="222"/>
      <c r="E315" s="222"/>
      <c r="F315" s="222"/>
      <c r="G315" s="222"/>
      <c r="H315" s="222"/>
      <c r="I315" s="222"/>
      <c r="J315" s="222"/>
      <c r="K315" s="222"/>
      <c r="L315" s="222">
        <f t="shared" si="103"/>
        <v>0</v>
      </c>
      <c r="M315" s="224"/>
      <c r="N315" s="229"/>
      <c r="O315" s="229"/>
      <c r="P315" s="229"/>
      <c r="Q315" s="229"/>
      <c r="R315" s="229"/>
      <c r="S315" s="222"/>
      <c r="T315" s="222"/>
      <c r="U315" s="222"/>
      <c r="V315" s="222">
        <f t="shared" si="104"/>
        <v>0</v>
      </c>
      <c r="W315" s="215"/>
    </row>
    <row r="316" spans="1:23" ht="21" x14ac:dyDescent="0.35">
      <c r="A316" s="226" t="s">
        <v>104</v>
      </c>
      <c r="B316" s="227"/>
      <c r="C316" s="227"/>
      <c r="D316" s="227">
        <f t="shared" ref="D316:K316" si="116">SUM(D310:D315)</f>
        <v>0</v>
      </c>
      <c r="E316" s="227">
        <f t="shared" si="116"/>
        <v>0</v>
      </c>
      <c r="F316" s="227">
        <f t="shared" si="116"/>
        <v>0</v>
      </c>
      <c r="G316" s="227">
        <f t="shared" si="116"/>
        <v>0</v>
      </c>
      <c r="H316" s="227">
        <f t="shared" si="116"/>
        <v>0</v>
      </c>
      <c r="I316" s="227">
        <f t="shared" si="116"/>
        <v>0</v>
      </c>
      <c r="J316" s="227">
        <f t="shared" si="116"/>
        <v>0</v>
      </c>
      <c r="K316" s="227">
        <f t="shared" si="116"/>
        <v>0</v>
      </c>
      <c r="L316" s="225">
        <f t="shared" si="103"/>
        <v>0</v>
      </c>
      <c r="M316" s="221"/>
      <c r="N316" s="227">
        <f t="shared" ref="N316:U316" si="117">SUM(N310:N315)</f>
        <v>0</v>
      </c>
      <c r="O316" s="227">
        <f t="shared" si="117"/>
        <v>0</v>
      </c>
      <c r="P316" s="227">
        <f t="shared" si="117"/>
        <v>0</v>
      </c>
      <c r="Q316" s="227">
        <f t="shared" si="117"/>
        <v>0</v>
      </c>
      <c r="R316" s="227">
        <f t="shared" si="117"/>
        <v>0</v>
      </c>
      <c r="S316" s="227">
        <f t="shared" si="117"/>
        <v>0</v>
      </c>
      <c r="T316" s="227">
        <f t="shared" si="117"/>
        <v>0</v>
      </c>
      <c r="U316" s="227">
        <f t="shared" si="117"/>
        <v>0</v>
      </c>
      <c r="V316" s="225">
        <f t="shared" si="104"/>
        <v>0</v>
      </c>
      <c r="W316" s="215"/>
    </row>
    <row r="317" spans="1:23" ht="21" x14ac:dyDescent="0.35">
      <c r="A317" s="772">
        <v>44854</v>
      </c>
      <c r="B317" s="222" t="s">
        <v>2</v>
      </c>
      <c r="C317" s="222" t="s">
        <v>67</v>
      </c>
      <c r="D317" s="222"/>
      <c r="E317" s="222"/>
      <c r="F317" s="222"/>
      <c r="G317" s="222"/>
      <c r="H317" s="222"/>
      <c r="I317" s="222"/>
      <c r="J317" s="222"/>
      <c r="K317" s="222"/>
      <c r="L317" s="222">
        <f t="shared" si="103"/>
        <v>0</v>
      </c>
      <c r="M317" s="224"/>
      <c r="N317" s="222"/>
      <c r="O317" s="222"/>
      <c r="P317" s="222"/>
      <c r="Q317" s="222"/>
      <c r="R317" s="222"/>
      <c r="S317" s="222"/>
      <c r="T317" s="222"/>
      <c r="U317" s="222"/>
      <c r="V317" s="222">
        <f t="shared" si="104"/>
        <v>0</v>
      </c>
      <c r="W317" s="215"/>
    </row>
    <row r="318" spans="1:23" ht="21" x14ac:dyDescent="0.35">
      <c r="A318" s="773"/>
      <c r="B318" s="222" t="s">
        <v>2</v>
      </c>
      <c r="C318" s="222" t="s">
        <v>65</v>
      </c>
      <c r="D318" s="222"/>
      <c r="E318" s="245"/>
      <c r="F318" s="222"/>
      <c r="G318" s="222"/>
      <c r="H318" s="222"/>
      <c r="I318" s="222"/>
      <c r="J318" s="222"/>
      <c r="K318" s="222"/>
      <c r="L318" s="222">
        <f t="shared" si="103"/>
        <v>0</v>
      </c>
      <c r="M318" s="224"/>
      <c r="N318" s="222"/>
      <c r="O318" s="229"/>
      <c r="P318" s="229"/>
      <c r="Q318" s="222"/>
      <c r="R318" s="222"/>
      <c r="S318" s="222"/>
      <c r="T318" s="222"/>
      <c r="U318" s="245"/>
      <c r="V318" s="222">
        <f t="shared" si="104"/>
        <v>0</v>
      </c>
      <c r="W318" s="215"/>
    </row>
    <row r="319" spans="1:23" ht="21" x14ac:dyDescent="0.35">
      <c r="A319" s="773"/>
      <c r="B319" s="222" t="s">
        <v>2</v>
      </c>
      <c r="C319" s="222" t="s">
        <v>74</v>
      </c>
      <c r="D319" s="222"/>
      <c r="E319" s="245"/>
      <c r="F319" s="222"/>
      <c r="G319" s="222"/>
      <c r="H319" s="222"/>
      <c r="I319" s="222"/>
      <c r="J319" s="222"/>
      <c r="K319" s="222"/>
      <c r="L319" s="222">
        <f t="shared" si="103"/>
        <v>0</v>
      </c>
      <c r="M319" s="224"/>
      <c r="N319" s="222"/>
      <c r="O319" s="222"/>
      <c r="P319" s="222"/>
      <c r="Q319" s="222"/>
      <c r="R319" s="222"/>
      <c r="S319" s="222"/>
      <c r="T319" s="222"/>
      <c r="U319" s="245"/>
      <c r="V319" s="222">
        <f t="shared" si="104"/>
        <v>0</v>
      </c>
      <c r="W319" s="215"/>
    </row>
    <row r="320" spans="1:23" ht="21" x14ac:dyDescent="0.35">
      <c r="A320" s="773"/>
      <c r="B320" s="222" t="s">
        <v>2</v>
      </c>
      <c r="C320" s="222" t="s">
        <v>138</v>
      </c>
      <c r="D320" s="222"/>
      <c r="E320" s="222"/>
      <c r="F320" s="222"/>
      <c r="G320" s="222"/>
      <c r="H320" s="222"/>
      <c r="I320" s="222"/>
      <c r="J320" s="222"/>
      <c r="K320" s="222"/>
      <c r="L320" s="222">
        <f t="shared" si="103"/>
        <v>0</v>
      </c>
      <c r="M320" s="224"/>
      <c r="N320" s="222"/>
      <c r="O320" s="222"/>
      <c r="P320" s="222"/>
      <c r="Q320" s="222"/>
      <c r="R320" s="222"/>
      <c r="S320" s="222"/>
      <c r="T320" s="222"/>
      <c r="U320" s="222"/>
      <c r="V320" s="222">
        <f t="shared" si="104"/>
        <v>0</v>
      </c>
      <c r="W320" s="215"/>
    </row>
    <row r="321" spans="1:23" ht="21" x14ac:dyDescent="0.35">
      <c r="A321" s="773"/>
      <c r="B321" s="222" t="s">
        <v>2</v>
      </c>
      <c r="C321" s="222" t="s">
        <v>167</v>
      </c>
      <c r="D321" s="222"/>
      <c r="E321" s="222"/>
      <c r="F321" s="245"/>
      <c r="G321" s="222"/>
      <c r="H321" s="222"/>
      <c r="I321" s="222"/>
      <c r="J321" s="245"/>
      <c r="K321" s="222"/>
      <c r="L321" s="222">
        <f t="shared" si="103"/>
        <v>0</v>
      </c>
      <c r="M321" s="224"/>
      <c r="N321" s="222"/>
      <c r="O321" s="229"/>
      <c r="P321" s="222"/>
      <c r="Q321" s="222"/>
      <c r="R321" s="222"/>
      <c r="S321" s="222"/>
      <c r="T321" s="222"/>
      <c r="U321" s="245"/>
      <c r="V321" s="222">
        <f t="shared" si="104"/>
        <v>0</v>
      </c>
      <c r="W321" s="215"/>
    </row>
    <row r="322" spans="1:23" ht="21" x14ac:dyDescent="0.35">
      <c r="A322" s="774"/>
      <c r="B322" s="222" t="s">
        <v>2</v>
      </c>
      <c r="C322" s="222" t="s">
        <v>292</v>
      </c>
      <c r="D322" s="222"/>
      <c r="E322" s="222"/>
      <c r="F322" s="222"/>
      <c r="G322" s="222"/>
      <c r="H322" s="222"/>
      <c r="I322" s="222"/>
      <c r="J322" s="222"/>
      <c r="K322" s="222"/>
      <c r="L322" s="222">
        <f t="shared" si="103"/>
        <v>0</v>
      </c>
      <c r="M322" s="224"/>
      <c r="N322" s="222"/>
      <c r="O322" s="229"/>
      <c r="P322" s="222"/>
      <c r="Q322" s="222"/>
      <c r="R322" s="222"/>
      <c r="S322" s="222"/>
      <c r="T322" s="222"/>
      <c r="U322" s="222"/>
      <c r="V322" s="222">
        <f t="shared" si="104"/>
        <v>0</v>
      </c>
      <c r="W322" s="215"/>
    </row>
    <row r="323" spans="1:23" ht="21" x14ac:dyDescent="0.35">
      <c r="A323" s="226" t="s">
        <v>103</v>
      </c>
      <c r="B323" s="227"/>
      <c r="C323" s="227"/>
      <c r="D323" s="227">
        <f t="shared" ref="D323:K323" si="118">SUM(D317:D322)</f>
        <v>0</v>
      </c>
      <c r="E323" s="227">
        <f t="shared" si="118"/>
        <v>0</v>
      </c>
      <c r="F323" s="227">
        <f t="shared" si="118"/>
        <v>0</v>
      </c>
      <c r="G323" s="227">
        <f t="shared" si="118"/>
        <v>0</v>
      </c>
      <c r="H323" s="227">
        <f t="shared" si="118"/>
        <v>0</v>
      </c>
      <c r="I323" s="227">
        <f t="shared" si="118"/>
        <v>0</v>
      </c>
      <c r="J323" s="227">
        <f t="shared" si="118"/>
        <v>0</v>
      </c>
      <c r="K323" s="227">
        <f t="shared" si="118"/>
        <v>0</v>
      </c>
      <c r="L323" s="225">
        <f t="shared" si="103"/>
        <v>0</v>
      </c>
      <c r="M323" s="221"/>
      <c r="N323" s="227">
        <f t="shared" ref="N323:U323" si="119">SUM(N317:N322)</f>
        <v>0</v>
      </c>
      <c r="O323" s="227">
        <f t="shared" si="119"/>
        <v>0</v>
      </c>
      <c r="P323" s="227">
        <f t="shared" si="119"/>
        <v>0</v>
      </c>
      <c r="Q323" s="227">
        <f t="shared" si="119"/>
        <v>0</v>
      </c>
      <c r="R323" s="227">
        <f t="shared" si="119"/>
        <v>0</v>
      </c>
      <c r="S323" s="227">
        <f t="shared" si="119"/>
        <v>0</v>
      </c>
      <c r="T323" s="227">
        <f t="shared" si="119"/>
        <v>0</v>
      </c>
      <c r="U323" s="227">
        <f t="shared" si="119"/>
        <v>0</v>
      </c>
      <c r="V323" s="225">
        <f t="shared" si="104"/>
        <v>0</v>
      </c>
      <c r="W323" s="215"/>
    </row>
    <row r="324" spans="1:23" ht="21" x14ac:dyDescent="0.35">
      <c r="A324" s="772">
        <v>44855</v>
      </c>
      <c r="B324" s="222" t="s">
        <v>2</v>
      </c>
      <c r="C324" s="222" t="s">
        <v>67</v>
      </c>
      <c r="D324" s="222"/>
      <c r="E324" s="222"/>
      <c r="F324" s="222"/>
      <c r="G324" s="222"/>
      <c r="H324" s="222"/>
      <c r="I324" s="222"/>
      <c r="J324" s="222"/>
      <c r="K324" s="222"/>
      <c r="L324" s="222">
        <f t="shared" si="103"/>
        <v>0</v>
      </c>
      <c r="M324" s="224"/>
      <c r="N324" s="222"/>
      <c r="O324" s="222"/>
      <c r="P324" s="222"/>
      <c r="Q324" s="222"/>
      <c r="R324" s="222"/>
      <c r="S324" s="222"/>
      <c r="T324" s="222"/>
      <c r="U324" s="222"/>
      <c r="V324" s="222">
        <f t="shared" si="104"/>
        <v>0</v>
      </c>
      <c r="W324" s="215"/>
    </row>
    <row r="325" spans="1:23" ht="21" x14ac:dyDescent="0.35">
      <c r="A325" s="773"/>
      <c r="B325" s="222" t="s">
        <v>2</v>
      </c>
      <c r="C325" s="222" t="s">
        <v>65</v>
      </c>
      <c r="D325" s="222"/>
      <c r="E325" s="222"/>
      <c r="F325" s="222"/>
      <c r="G325" s="222"/>
      <c r="H325" s="222"/>
      <c r="I325" s="222"/>
      <c r="J325" s="222"/>
      <c r="K325" s="222"/>
      <c r="L325" s="222">
        <f t="shared" si="103"/>
        <v>0</v>
      </c>
      <c r="M325" s="224"/>
      <c r="N325" s="222"/>
      <c r="O325" s="222"/>
      <c r="P325" s="222"/>
      <c r="Q325" s="222"/>
      <c r="R325" s="222"/>
      <c r="S325" s="222"/>
      <c r="T325" s="222"/>
      <c r="U325" s="222"/>
      <c r="V325" s="222">
        <f t="shared" si="104"/>
        <v>0</v>
      </c>
      <c r="W325" s="215"/>
    </row>
    <row r="326" spans="1:23" ht="21" x14ac:dyDescent="0.35">
      <c r="A326" s="773"/>
      <c r="B326" s="222" t="s">
        <v>2</v>
      </c>
      <c r="C326" s="222" t="s">
        <v>74</v>
      </c>
      <c r="D326" s="222"/>
      <c r="E326" s="222"/>
      <c r="F326" s="222"/>
      <c r="G326" s="222"/>
      <c r="H326" s="222"/>
      <c r="I326" s="222"/>
      <c r="J326" s="222"/>
      <c r="K326" s="222"/>
      <c r="L326" s="222">
        <f t="shared" si="103"/>
        <v>0</v>
      </c>
      <c r="M326" s="224"/>
      <c r="N326" s="222"/>
      <c r="O326" s="222"/>
      <c r="P326" s="222"/>
      <c r="Q326" s="222"/>
      <c r="R326" s="222"/>
      <c r="S326" s="222"/>
      <c r="T326" s="222"/>
      <c r="U326" s="222"/>
      <c r="V326" s="222">
        <f t="shared" si="104"/>
        <v>0</v>
      </c>
      <c r="W326" s="215"/>
    </row>
    <row r="327" spans="1:23" ht="21" x14ac:dyDescent="0.35">
      <c r="A327" s="773"/>
      <c r="B327" s="222" t="s">
        <v>2</v>
      </c>
      <c r="C327" s="222" t="s">
        <v>138</v>
      </c>
      <c r="D327" s="222"/>
      <c r="E327" s="222"/>
      <c r="F327" s="222"/>
      <c r="G327" s="222"/>
      <c r="H327" s="222"/>
      <c r="I327" s="222"/>
      <c r="J327" s="222"/>
      <c r="K327" s="222"/>
      <c r="L327" s="222">
        <f t="shared" si="103"/>
        <v>0</v>
      </c>
      <c r="M327" s="224"/>
      <c r="N327" s="222"/>
      <c r="O327" s="222"/>
      <c r="P327" s="222"/>
      <c r="Q327" s="222"/>
      <c r="R327" s="222"/>
      <c r="S327" s="222"/>
      <c r="T327" s="222"/>
      <c r="U327" s="222"/>
      <c r="V327" s="222">
        <f t="shared" si="104"/>
        <v>0</v>
      </c>
      <c r="W327" s="215"/>
    </row>
    <row r="328" spans="1:23" ht="21" x14ac:dyDescent="0.35">
      <c r="A328" s="773"/>
      <c r="B328" s="222" t="s">
        <v>2</v>
      </c>
      <c r="C328" s="222" t="s">
        <v>167</v>
      </c>
      <c r="D328" s="222"/>
      <c r="E328" s="222"/>
      <c r="F328" s="222"/>
      <c r="G328" s="222"/>
      <c r="H328" s="222"/>
      <c r="I328" s="222"/>
      <c r="J328" s="222"/>
      <c r="K328" s="222"/>
      <c r="L328" s="222">
        <f t="shared" si="103"/>
        <v>0</v>
      </c>
      <c r="M328" s="224"/>
      <c r="N328" s="222"/>
      <c r="O328" s="229"/>
      <c r="P328" s="222"/>
      <c r="Q328" s="222"/>
      <c r="R328" s="222"/>
      <c r="S328" s="222"/>
      <c r="T328" s="222"/>
      <c r="U328" s="222"/>
      <c r="V328" s="222">
        <f t="shared" si="104"/>
        <v>0</v>
      </c>
      <c r="W328" s="215"/>
    </row>
    <row r="329" spans="1:23" ht="21" x14ac:dyDescent="0.35">
      <c r="A329" s="774"/>
      <c r="B329" s="222" t="s">
        <v>2</v>
      </c>
      <c r="C329" s="222" t="s">
        <v>292</v>
      </c>
      <c r="D329" s="222"/>
      <c r="E329" s="222"/>
      <c r="F329" s="222"/>
      <c r="G329" s="222"/>
      <c r="H329" s="222"/>
      <c r="I329" s="222"/>
      <c r="J329" s="222"/>
      <c r="K329" s="222"/>
      <c r="L329" s="222">
        <f t="shared" si="103"/>
        <v>0</v>
      </c>
      <c r="M329" s="224"/>
      <c r="N329" s="222"/>
      <c r="O329" s="229"/>
      <c r="P329" s="222"/>
      <c r="Q329" s="222"/>
      <c r="R329" s="222"/>
      <c r="S329" s="222"/>
      <c r="T329" s="222"/>
      <c r="U329" s="222"/>
      <c r="V329" s="222">
        <f t="shared" si="104"/>
        <v>0</v>
      </c>
      <c r="W329" s="215"/>
    </row>
    <row r="330" spans="1:23" ht="21" x14ac:dyDescent="0.35">
      <c r="A330" s="226" t="s">
        <v>105</v>
      </c>
      <c r="B330" s="227"/>
      <c r="C330" s="227"/>
      <c r="D330" s="227">
        <f t="shared" ref="D330:K330" si="120">SUM(D324:D329)</f>
        <v>0</v>
      </c>
      <c r="E330" s="227">
        <f t="shared" si="120"/>
        <v>0</v>
      </c>
      <c r="F330" s="227">
        <f t="shared" si="120"/>
        <v>0</v>
      </c>
      <c r="G330" s="227">
        <f t="shared" si="120"/>
        <v>0</v>
      </c>
      <c r="H330" s="227">
        <f t="shared" si="120"/>
        <v>0</v>
      </c>
      <c r="I330" s="227">
        <f t="shared" si="120"/>
        <v>0</v>
      </c>
      <c r="J330" s="227">
        <f t="shared" si="120"/>
        <v>0</v>
      </c>
      <c r="K330" s="227">
        <f t="shared" si="120"/>
        <v>0</v>
      </c>
      <c r="L330" s="225">
        <f t="shared" si="103"/>
        <v>0</v>
      </c>
      <c r="M330" s="221"/>
      <c r="N330" s="227">
        <f t="shared" ref="N330:U330" si="121">SUM(N324:N329)</f>
        <v>0</v>
      </c>
      <c r="O330" s="227">
        <f t="shared" si="121"/>
        <v>0</v>
      </c>
      <c r="P330" s="227">
        <f t="shared" si="121"/>
        <v>0</v>
      </c>
      <c r="Q330" s="227">
        <f t="shared" si="121"/>
        <v>0</v>
      </c>
      <c r="R330" s="227">
        <f t="shared" si="121"/>
        <v>0</v>
      </c>
      <c r="S330" s="227">
        <f t="shared" si="121"/>
        <v>0</v>
      </c>
      <c r="T330" s="227">
        <f t="shared" si="121"/>
        <v>0</v>
      </c>
      <c r="U330" s="227">
        <f t="shared" si="121"/>
        <v>0</v>
      </c>
      <c r="V330" s="225">
        <f t="shared" si="104"/>
        <v>0</v>
      </c>
      <c r="W330" s="215"/>
    </row>
    <row r="331" spans="1:23" ht="21" x14ac:dyDescent="0.35">
      <c r="A331" s="772">
        <v>44856</v>
      </c>
      <c r="B331" s="222" t="s">
        <v>2</v>
      </c>
      <c r="C331" s="222" t="s">
        <v>67</v>
      </c>
      <c r="D331" s="222"/>
      <c r="E331" s="222"/>
      <c r="F331" s="222"/>
      <c r="G331" s="222"/>
      <c r="H331" s="222"/>
      <c r="I331" s="222"/>
      <c r="J331" s="222"/>
      <c r="K331" s="222"/>
      <c r="L331" s="222">
        <f t="shared" si="103"/>
        <v>0</v>
      </c>
      <c r="M331" s="224"/>
      <c r="N331" s="222"/>
      <c r="O331" s="222"/>
      <c r="P331" s="222"/>
      <c r="Q331" s="222"/>
      <c r="R331" s="222"/>
      <c r="S331" s="222"/>
      <c r="T331" s="222"/>
      <c r="U331" s="222"/>
      <c r="V331" s="222">
        <f t="shared" si="104"/>
        <v>0</v>
      </c>
      <c r="W331" s="215"/>
    </row>
    <row r="332" spans="1:23" ht="21" x14ac:dyDescent="0.35">
      <c r="A332" s="773"/>
      <c r="B332" s="222" t="s">
        <v>2</v>
      </c>
      <c r="C332" s="222" t="s">
        <v>65</v>
      </c>
      <c r="D332" s="222"/>
      <c r="E332" s="222"/>
      <c r="F332" s="222"/>
      <c r="G332" s="222"/>
      <c r="H332" s="222"/>
      <c r="I332" s="222"/>
      <c r="J332" s="222"/>
      <c r="K332" s="222"/>
      <c r="L332" s="222">
        <f t="shared" si="103"/>
        <v>0</v>
      </c>
      <c r="M332" s="224"/>
      <c r="N332" s="222"/>
      <c r="O332" s="222"/>
      <c r="P332" s="222"/>
      <c r="Q332" s="222"/>
      <c r="R332" s="222"/>
      <c r="S332" s="222"/>
      <c r="T332" s="222"/>
      <c r="U332" s="222"/>
      <c r="V332" s="222">
        <f t="shared" si="104"/>
        <v>0</v>
      </c>
      <c r="W332" s="215"/>
    </row>
    <row r="333" spans="1:23" ht="20.25" x14ac:dyDescent="0.3">
      <c r="A333" s="773"/>
      <c r="B333" s="222" t="s">
        <v>2</v>
      </c>
      <c r="C333" s="222" t="s">
        <v>74</v>
      </c>
      <c r="D333" s="222"/>
      <c r="E333" s="222"/>
      <c r="F333" s="222"/>
      <c r="G333" s="222"/>
      <c r="H333" s="222"/>
      <c r="I333" s="222"/>
      <c r="J333" s="222"/>
      <c r="K333" s="222"/>
      <c r="L333" s="222">
        <f t="shared" si="103"/>
        <v>0</v>
      </c>
      <c r="M333" s="224"/>
      <c r="N333" s="222"/>
      <c r="O333" s="222"/>
      <c r="P333" s="222"/>
      <c r="Q333" s="222"/>
      <c r="R333" s="222"/>
      <c r="S333" s="222"/>
      <c r="T333" s="222"/>
      <c r="U333" s="222"/>
      <c r="V333" s="222">
        <f t="shared" si="104"/>
        <v>0</v>
      </c>
      <c r="W333" s="250"/>
    </row>
    <row r="334" spans="1:23" ht="20.25" x14ac:dyDescent="0.3">
      <c r="A334" s="773"/>
      <c r="B334" s="222" t="s">
        <v>2</v>
      </c>
      <c r="C334" s="222" t="s">
        <v>138</v>
      </c>
      <c r="D334" s="222"/>
      <c r="E334" s="222"/>
      <c r="F334" s="222"/>
      <c r="G334" s="222"/>
      <c r="H334" s="222"/>
      <c r="I334" s="222"/>
      <c r="J334" s="222"/>
      <c r="K334" s="222"/>
      <c r="L334" s="222">
        <f t="shared" si="103"/>
        <v>0</v>
      </c>
      <c r="M334" s="224"/>
      <c r="N334" s="222"/>
      <c r="O334" s="222"/>
      <c r="P334" s="222"/>
      <c r="Q334" s="222"/>
      <c r="R334" s="222"/>
      <c r="S334" s="222"/>
      <c r="T334" s="222"/>
      <c r="U334" s="222"/>
      <c r="V334" s="222">
        <f t="shared" si="104"/>
        <v>0</v>
      </c>
      <c r="W334" s="250"/>
    </row>
    <row r="335" spans="1:23" ht="21" x14ac:dyDescent="0.35">
      <c r="A335" s="773"/>
      <c r="B335" s="222" t="s">
        <v>2</v>
      </c>
      <c r="C335" s="222" t="s">
        <v>167</v>
      </c>
      <c r="D335" s="222"/>
      <c r="E335" s="222"/>
      <c r="F335" s="222"/>
      <c r="G335" s="222"/>
      <c r="H335" s="222"/>
      <c r="I335" s="222"/>
      <c r="J335" s="222"/>
      <c r="K335" s="222"/>
      <c r="L335" s="222">
        <f t="shared" ref="L335:L358" si="122">SUM(D335:K335)</f>
        <v>0</v>
      </c>
      <c r="M335" s="224"/>
      <c r="N335" s="222"/>
      <c r="O335" s="229"/>
      <c r="P335" s="222"/>
      <c r="Q335" s="222"/>
      <c r="R335" s="222"/>
      <c r="S335" s="222"/>
      <c r="T335" s="222"/>
      <c r="U335" s="222"/>
      <c r="V335" s="222">
        <f t="shared" ref="V335:V358" si="123">SUM(N335:U335)</f>
        <v>0</v>
      </c>
      <c r="W335" s="215"/>
    </row>
    <row r="336" spans="1:23" ht="21" x14ac:dyDescent="0.35">
      <c r="A336" s="774"/>
      <c r="B336" s="222" t="s">
        <v>2</v>
      </c>
      <c r="C336" s="222" t="s">
        <v>292</v>
      </c>
      <c r="D336" s="222"/>
      <c r="E336" s="222"/>
      <c r="F336" s="222"/>
      <c r="G336" s="222"/>
      <c r="H336" s="222"/>
      <c r="I336" s="222"/>
      <c r="J336" s="222"/>
      <c r="K336" s="222"/>
      <c r="L336" s="222">
        <f t="shared" si="122"/>
        <v>0</v>
      </c>
      <c r="M336" s="224"/>
      <c r="N336" s="222"/>
      <c r="O336" s="229"/>
      <c r="P336" s="222"/>
      <c r="Q336" s="222"/>
      <c r="R336" s="222"/>
      <c r="S336" s="222"/>
      <c r="T336" s="222"/>
      <c r="U336" s="222"/>
      <c r="V336" s="222">
        <f t="shared" si="123"/>
        <v>0</v>
      </c>
      <c r="W336" s="215"/>
    </row>
    <row r="337" spans="1:23" ht="21" x14ac:dyDescent="0.35">
      <c r="A337" s="226" t="s">
        <v>106</v>
      </c>
      <c r="B337" s="227"/>
      <c r="C337" s="227"/>
      <c r="D337" s="227">
        <f t="shared" ref="D337:K337" si="124">SUM(D331:D336)</f>
        <v>0</v>
      </c>
      <c r="E337" s="227">
        <f t="shared" si="124"/>
        <v>0</v>
      </c>
      <c r="F337" s="227">
        <f t="shared" si="124"/>
        <v>0</v>
      </c>
      <c r="G337" s="227">
        <f t="shared" si="124"/>
        <v>0</v>
      </c>
      <c r="H337" s="227">
        <f t="shared" si="124"/>
        <v>0</v>
      </c>
      <c r="I337" s="227">
        <f t="shared" si="124"/>
        <v>0</v>
      </c>
      <c r="J337" s="227">
        <f t="shared" si="124"/>
        <v>0</v>
      </c>
      <c r="K337" s="227">
        <f t="shared" si="124"/>
        <v>0</v>
      </c>
      <c r="L337" s="225">
        <f t="shared" si="122"/>
        <v>0</v>
      </c>
      <c r="M337" s="221"/>
      <c r="N337" s="227">
        <f t="shared" ref="N337:U337" si="125">SUM(N331:N336)</f>
        <v>0</v>
      </c>
      <c r="O337" s="227">
        <f t="shared" si="125"/>
        <v>0</v>
      </c>
      <c r="P337" s="227">
        <f t="shared" si="125"/>
        <v>0</v>
      </c>
      <c r="Q337" s="227">
        <f t="shared" si="125"/>
        <v>0</v>
      </c>
      <c r="R337" s="227">
        <f t="shared" si="125"/>
        <v>0</v>
      </c>
      <c r="S337" s="227">
        <f t="shared" si="125"/>
        <v>0</v>
      </c>
      <c r="T337" s="227">
        <f t="shared" si="125"/>
        <v>0</v>
      </c>
      <c r="U337" s="227">
        <f t="shared" si="125"/>
        <v>0</v>
      </c>
      <c r="V337" s="225">
        <f t="shared" si="123"/>
        <v>0</v>
      </c>
      <c r="W337" s="215"/>
    </row>
    <row r="338" spans="1:23" ht="21" x14ac:dyDescent="0.35">
      <c r="A338" s="772">
        <v>44857</v>
      </c>
      <c r="B338" s="222" t="s">
        <v>2</v>
      </c>
      <c r="C338" s="222" t="s">
        <v>67</v>
      </c>
      <c r="D338" s="222"/>
      <c r="E338" s="222"/>
      <c r="F338" s="222"/>
      <c r="G338" s="222"/>
      <c r="H338" s="222"/>
      <c r="I338" s="222"/>
      <c r="J338" s="222"/>
      <c r="K338" s="222"/>
      <c r="L338" s="222">
        <f t="shared" si="122"/>
        <v>0</v>
      </c>
      <c r="M338" s="224"/>
      <c r="N338" s="222"/>
      <c r="O338" s="222"/>
      <c r="P338" s="222"/>
      <c r="Q338" s="222"/>
      <c r="R338" s="222"/>
      <c r="S338" s="222"/>
      <c r="T338" s="222"/>
      <c r="U338" s="222"/>
      <c r="V338" s="222">
        <f t="shared" si="123"/>
        <v>0</v>
      </c>
      <c r="W338" s="215"/>
    </row>
    <row r="339" spans="1:23" ht="21" x14ac:dyDescent="0.35">
      <c r="A339" s="773"/>
      <c r="B339" s="222" t="s">
        <v>2</v>
      </c>
      <c r="C339" s="222" t="s">
        <v>65</v>
      </c>
      <c r="D339" s="222"/>
      <c r="E339" s="222"/>
      <c r="F339" s="222"/>
      <c r="G339" s="222"/>
      <c r="H339" s="222"/>
      <c r="I339" s="222"/>
      <c r="J339" s="222"/>
      <c r="K339" s="222"/>
      <c r="L339" s="222">
        <f t="shared" si="122"/>
        <v>0</v>
      </c>
      <c r="M339" s="224"/>
      <c r="N339" s="222"/>
      <c r="O339" s="222"/>
      <c r="P339" s="222"/>
      <c r="Q339" s="222"/>
      <c r="R339" s="222"/>
      <c r="S339" s="222"/>
      <c r="T339" s="222"/>
      <c r="U339" s="222"/>
      <c r="V339" s="222">
        <f t="shared" si="123"/>
        <v>0</v>
      </c>
      <c r="W339" s="215"/>
    </row>
    <row r="340" spans="1:23" ht="21" x14ac:dyDescent="0.35">
      <c r="A340" s="773"/>
      <c r="B340" s="222" t="s">
        <v>2</v>
      </c>
      <c r="C340" s="222" t="s">
        <v>74</v>
      </c>
      <c r="D340" s="222"/>
      <c r="E340" s="222"/>
      <c r="F340" s="222"/>
      <c r="G340" s="222"/>
      <c r="H340" s="222"/>
      <c r="I340" s="222"/>
      <c r="J340" s="222"/>
      <c r="K340" s="222"/>
      <c r="L340" s="222">
        <f t="shared" si="122"/>
        <v>0</v>
      </c>
      <c r="M340" s="224"/>
      <c r="N340" s="222"/>
      <c r="O340" s="222"/>
      <c r="P340" s="222"/>
      <c r="Q340" s="222"/>
      <c r="R340" s="222"/>
      <c r="S340" s="222"/>
      <c r="T340" s="222"/>
      <c r="U340" s="222"/>
      <c r="V340" s="222">
        <f t="shared" si="123"/>
        <v>0</v>
      </c>
      <c r="W340" s="215"/>
    </row>
    <row r="341" spans="1:23" ht="21" x14ac:dyDescent="0.35">
      <c r="A341" s="773"/>
      <c r="B341" s="222" t="s">
        <v>2</v>
      </c>
      <c r="C341" s="222" t="s">
        <v>138</v>
      </c>
      <c r="D341" s="222"/>
      <c r="E341" s="222"/>
      <c r="F341" s="222"/>
      <c r="G341" s="222"/>
      <c r="H341" s="222"/>
      <c r="I341" s="222"/>
      <c r="J341" s="222"/>
      <c r="K341" s="222"/>
      <c r="L341" s="222">
        <f t="shared" si="122"/>
        <v>0</v>
      </c>
      <c r="M341" s="224"/>
      <c r="N341" s="222"/>
      <c r="O341" s="229"/>
      <c r="P341" s="222"/>
      <c r="Q341" s="222"/>
      <c r="R341" s="222"/>
      <c r="S341" s="222"/>
      <c r="T341" s="222"/>
      <c r="U341" s="222"/>
      <c r="V341" s="222">
        <f t="shared" si="123"/>
        <v>0</v>
      </c>
      <c r="W341" s="215"/>
    </row>
    <row r="342" spans="1:23" ht="21" x14ac:dyDescent="0.35">
      <c r="A342" s="773"/>
      <c r="B342" s="222" t="s">
        <v>2</v>
      </c>
      <c r="C342" s="222" t="s">
        <v>167</v>
      </c>
      <c r="D342" s="222"/>
      <c r="E342" s="222"/>
      <c r="F342" s="222"/>
      <c r="G342" s="222"/>
      <c r="H342" s="222"/>
      <c r="I342" s="222"/>
      <c r="J342" s="222"/>
      <c r="K342" s="222"/>
      <c r="L342" s="222">
        <f t="shared" si="122"/>
        <v>0</v>
      </c>
      <c r="M342" s="224"/>
      <c r="N342" s="222"/>
      <c r="O342" s="229"/>
      <c r="P342" s="222"/>
      <c r="Q342" s="222"/>
      <c r="R342" s="222"/>
      <c r="S342" s="222"/>
      <c r="T342" s="222"/>
      <c r="U342" s="222"/>
      <c r="V342" s="222">
        <f t="shared" si="123"/>
        <v>0</v>
      </c>
      <c r="W342" s="215"/>
    </row>
    <row r="343" spans="1:23" ht="21" x14ac:dyDescent="0.35">
      <c r="A343" s="774"/>
      <c r="B343" s="222" t="s">
        <v>2</v>
      </c>
      <c r="C343" s="222" t="s">
        <v>292</v>
      </c>
      <c r="D343" s="222"/>
      <c r="E343" s="222"/>
      <c r="F343" s="222"/>
      <c r="G343" s="222"/>
      <c r="H343" s="222"/>
      <c r="I343" s="222"/>
      <c r="J343" s="222"/>
      <c r="K343" s="222"/>
      <c r="L343" s="222">
        <f t="shared" si="122"/>
        <v>0</v>
      </c>
      <c r="M343" s="224"/>
      <c r="N343" s="222"/>
      <c r="O343" s="229"/>
      <c r="P343" s="222"/>
      <c r="Q343" s="222"/>
      <c r="R343" s="222"/>
      <c r="S343" s="222"/>
      <c r="T343" s="222"/>
      <c r="U343" s="222"/>
      <c r="V343" s="222">
        <f t="shared" si="123"/>
        <v>0</v>
      </c>
      <c r="W343" s="215"/>
    </row>
    <row r="344" spans="1:23" ht="21" x14ac:dyDescent="0.35">
      <c r="A344" s="226" t="s">
        <v>107</v>
      </c>
      <c r="B344" s="227"/>
      <c r="C344" s="227"/>
      <c r="D344" s="227">
        <f t="shared" ref="D344:K344" si="126">SUM(D338:D342)</f>
        <v>0</v>
      </c>
      <c r="E344" s="227">
        <f>SUM(E338:E343)</f>
        <v>0</v>
      </c>
      <c r="F344" s="227">
        <f t="shared" si="126"/>
        <v>0</v>
      </c>
      <c r="G344" s="227">
        <f t="shared" si="126"/>
        <v>0</v>
      </c>
      <c r="H344" s="227">
        <f t="shared" si="126"/>
        <v>0</v>
      </c>
      <c r="I344" s="227">
        <f t="shared" si="126"/>
        <v>0</v>
      </c>
      <c r="J344" s="227">
        <f t="shared" si="126"/>
        <v>0</v>
      </c>
      <c r="K344" s="227">
        <f t="shared" si="126"/>
        <v>0</v>
      </c>
      <c r="L344" s="225">
        <f t="shared" si="122"/>
        <v>0</v>
      </c>
      <c r="M344" s="221"/>
      <c r="N344" s="227">
        <f t="shared" ref="N344:U344" si="127">SUM(N338:N342)</f>
        <v>0</v>
      </c>
      <c r="O344" s="227">
        <f t="shared" si="127"/>
        <v>0</v>
      </c>
      <c r="P344" s="227">
        <f t="shared" si="127"/>
        <v>0</v>
      </c>
      <c r="Q344" s="227">
        <f t="shared" si="127"/>
        <v>0</v>
      </c>
      <c r="R344" s="227">
        <f t="shared" si="127"/>
        <v>0</v>
      </c>
      <c r="S344" s="227">
        <f t="shared" si="127"/>
        <v>0</v>
      </c>
      <c r="T344" s="227">
        <f t="shared" si="127"/>
        <v>0</v>
      </c>
      <c r="U344" s="227">
        <f t="shared" si="127"/>
        <v>0</v>
      </c>
      <c r="V344" s="225">
        <f t="shared" si="123"/>
        <v>0</v>
      </c>
      <c r="W344" s="215"/>
    </row>
    <row r="345" spans="1:23" ht="21" x14ac:dyDescent="0.35">
      <c r="A345" s="772">
        <v>44858</v>
      </c>
      <c r="B345" s="222" t="s">
        <v>2</v>
      </c>
      <c r="C345" s="222" t="s">
        <v>67</v>
      </c>
      <c r="D345" s="222"/>
      <c r="E345" s="222"/>
      <c r="F345" s="222"/>
      <c r="G345" s="222"/>
      <c r="H345" s="222"/>
      <c r="I345" s="222"/>
      <c r="J345" s="222"/>
      <c r="K345" s="222"/>
      <c r="L345" s="222">
        <f t="shared" si="122"/>
        <v>0</v>
      </c>
      <c r="M345" s="224"/>
      <c r="N345" s="229"/>
      <c r="O345" s="222"/>
      <c r="P345" s="222"/>
      <c r="Q345" s="222"/>
      <c r="R345" s="222"/>
      <c r="S345" s="222"/>
      <c r="T345" s="222"/>
      <c r="U345" s="222"/>
      <c r="V345" s="222">
        <f t="shared" si="123"/>
        <v>0</v>
      </c>
      <c r="W345" s="215"/>
    </row>
    <row r="346" spans="1:23" ht="21" x14ac:dyDescent="0.35">
      <c r="A346" s="773"/>
      <c r="B346" s="222" t="s">
        <v>2</v>
      </c>
      <c r="C346" s="222" t="s">
        <v>65</v>
      </c>
      <c r="D346" s="222"/>
      <c r="E346" s="222"/>
      <c r="F346" s="222"/>
      <c r="G346" s="222"/>
      <c r="H346" s="222"/>
      <c r="I346" s="222"/>
      <c r="J346" s="222"/>
      <c r="K346" s="222"/>
      <c r="L346" s="222">
        <f t="shared" si="122"/>
        <v>0</v>
      </c>
      <c r="M346" s="224"/>
      <c r="N346" s="222"/>
      <c r="O346" s="215"/>
      <c r="P346" s="222"/>
      <c r="Q346" s="222"/>
      <c r="R346" s="222"/>
      <c r="S346" s="222"/>
      <c r="T346" s="222"/>
      <c r="U346" s="222"/>
      <c r="V346" s="222">
        <f t="shared" si="123"/>
        <v>0</v>
      </c>
      <c r="W346" s="215"/>
    </row>
    <row r="347" spans="1:23" ht="21" x14ac:dyDescent="0.35">
      <c r="A347" s="773"/>
      <c r="B347" s="222" t="s">
        <v>2</v>
      </c>
      <c r="C347" s="222" t="s">
        <v>74</v>
      </c>
      <c r="D347" s="222"/>
      <c r="E347" s="222"/>
      <c r="F347" s="222"/>
      <c r="G347" s="222"/>
      <c r="H347" s="222"/>
      <c r="I347" s="222"/>
      <c r="J347" s="222"/>
      <c r="K347" s="222"/>
      <c r="L347" s="222">
        <f t="shared" si="122"/>
        <v>0</v>
      </c>
      <c r="M347" s="224"/>
      <c r="N347" s="222"/>
      <c r="O347" s="222"/>
      <c r="P347" s="222"/>
      <c r="Q347" s="222"/>
      <c r="R347" s="222"/>
      <c r="S347" s="222"/>
      <c r="T347" s="222"/>
      <c r="U347" s="222"/>
      <c r="V347" s="222">
        <f t="shared" si="123"/>
        <v>0</v>
      </c>
      <c r="W347" s="215"/>
    </row>
    <row r="348" spans="1:23" ht="21" x14ac:dyDescent="0.35">
      <c r="A348" s="773"/>
      <c r="B348" s="222" t="s">
        <v>2</v>
      </c>
      <c r="C348" s="222" t="s">
        <v>138</v>
      </c>
      <c r="D348" s="222"/>
      <c r="E348" s="222"/>
      <c r="F348" s="222"/>
      <c r="G348" s="222"/>
      <c r="H348" s="222"/>
      <c r="I348" s="222"/>
      <c r="J348" s="222"/>
      <c r="K348" s="222"/>
      <c r="L348" s="222">
        <f t="shared" si="122"/>
        <v>0</v>
      </c>
      <c r="M348" s="224"/>
      <c r="N348" s="222"/>
      <c r="O348" s="229"/>
      <c r="P348" s="222"/>
      <c r="Q348" s="222"/>
      <c r="R348" s="222"/>
      <c r="S348" s="222"/>
      <c r="T348" s="222"/>
      <c r="U348" s="222"/>
      <c r="V348" s="222">
        <f t="shared" si="123"/>
        <v>0</v>
      </c>
      <c r="W348" s="215"/>
    </row>
    <row r="349" spans="1:23" ht="21" x14ac:dyDescent="0.35">
      <c r="A349" s="773"/>
      <c r="B349" s="222" t="s">
        <v>2</v>
      </c>
      <c r="C349" s="222" t="s">
        <v>167</v>
      </c>
      <c r="D349" s="222"/>
      <c r="E349" s="222"/>
      <c r="F349" s="222"/>
      <c r="G349" s="222"/>
      <c r="H349" s="222"/>
      <c r="I349" s="222"/>
      <c r="J349" s="222"/>
      <c r="K349" s="222"/>
      <c r="L349" s="222">
        <f t="shared" si="122"/>
        <v>0</v>
      </c>
      <c r="M349" s="224"/>
      <c r="N349" s="222"/>
      <c r="O349" s="229"/>
      <c r="P349" s="222"/>
      <c r="Q349" s="222"/>
      <c r="R349" s="222"/>
      <c r="S349" s="222"/>
      <c r="T349" s="222"/>
      <c r="U349" s="222"/>
      <c r="V349" s="222">
        <f t="shared" si="123"/>
        <v>0</v>
      </c>
      <c r="W349" s="215"/>
    </row>
    <row r="350" spans="1:23" ht="21" x14ac:dyDescent="0.35">
      <c r="A350" s="774"/>
      <c r="B350" s="222" t="s">
        <v>2</v>
      </c>
      <c r="C350" s="222" t="s">
        <v>292</v>
      </c>
      <c r="D350" s="222"/>
      <c r="E350" s="222"/>
      <c r="F350" s="222"/>
      <c r="G350" s="222"/>
      <c r="H350" s="222"/>
      <c r="I350" s="222"/>
      <c r="J350" s="222"/>
      <c r="K350" s="222"/>
      <c r="L350" s="222">
        <f t="shared" si="122"/>
        <v>0</v>
      </c>
      <c r="M350" s="224"/>
      <c r="N350" s="222"/>
      <c r="O350" s="229"/>
      <c r="P350" s="222"/>
      <c r="Q350" s="222"/>
      <c r="R350" s="222"/>
      <c r="S350" s="222"/>
      <c r="T350" s="222"/>
      <c r="U350" s="222"/>
      <c r="V350" s="222">
        <f t="shared" si="123"/>
        <v>0</v>
      </c>
      <c r="W350" s="215"/>
    </row>
    <row r="351" spans="1:23" ht="21" x14ac:dyDescent="0.35">
      <c r="A351" s="226" t="s">
        <v>108</v>
      </c>
      <c r="B351" s="227"/>
      <c r="C351" s="227"/>
      <c r="D351" s="227">
        <f t="shared" ref="D351:K351" si="128">SUM(D345:D349)</f>
        <v>0</v>
      </c>
      <c r="E351" s="227">
        <f>SUM(E345:E350)</f>
        <v>0</v>
      </c>
      <c r="F351" s="227">
        <f t="shared" si="128"/>
        <v>0</v>
      </c>
      <c r="G351" s="227">
        <f t="shared" si="128"/>
        <v>0</v>
      </c>
      <c r="H351" s="227">
        <f t="shared" si="128"/>
        <v>0</v>
      </c>
      <c r="I351" s="227">
        <f t="shared" si="128"/>
        <v>0</v>
      </c>
      <c r="J351" s="227">
        <f t="shared" si="128"/>
        <v>0</v>
      </c>
      <c r="K351" s="227">
        <f t="shared" si="128"/>
        <v>0</v>
      </c>
      <c r="L351" s="225">
        <f t="shared" si="122"/>
        <v>0</v>
      </c>
      <c r="M351" s="221"/>
      <c r="N351" s="227">
        <f t="shared" ref="N351:U351" si="129">SUM(N345:N349)</f>
        <v>0</v>
      </c>
      <c r="O351" s="227">
        <f t="shared" si="129"/>
        <v>0</v>
      </c>
      <c r="P351" s="227">
        <f t="shared" si="129"/>
        <v>0</v>
      </c>
      <c r="Q351" s="227">
        <f t="shared" si="129"/>
        <v>0</v>
      </c>
      <c r="R351" s="227">
        <f t="shared" si="129"/>
        <v>0</v>
      </c>
      <c r="S351" s="227">
        <f t="shared" si="129"/>
        <v>0</v>
      </c>
      <c r="T351" s="227">
        <f t="shared" si="129"/>
        <v>0</v>
      </c>
      <c r="U351" s="227">
        <f t="shared" si="129"/>
        <v>0</v>
      </c>
      <c r="V351" s="225">
        <f t="shared" si="123"/>
        <v>0</v>
      </c>
      <c r="W351" s="215"/>
    </row>
    <row r="352" spans="1:23" ht="21" x14ac:dyDescent="0.35">
      <c r="A352" s="772">
        <v>44859</v>
      </c>
      <c r="B352" s="222" t="s">
        <v>2</v>
      </c>
      <c r="C352" s="222" t="s">
        <v>67</v>
      </c>
      <c r="D352" s="222"/>
      <c r="E352" s="222"/>
      <c r="F352" s="222"/>
      <c r="G352" s="222"/>
      <c r="H352" s="222"/>
      <c r="I352" s="222"/>
      <c r="J352" s="222"/>
      <c r="K352" s="222"/>
      <c r="L352" s="222">
        <f t="shared" si="122"/>
        <v>0</v>
      </c>
      <c r="M352" s="224"/>
      <c r="N352" s="229"/>
      <c r="O352" s="222"/>
      <c r="P352" s="222"/>
      <c r="Q352" s="222"/>
      <c r="R352" s="222"/>
      <c r="S352" s="222"/>
      <c r="T352" s="222"/>
      <c r="U352" s="222"/>
      <c r="V352" s="222">
        <f t="shared" si="123"/>
        <v>0</v>
      </c>
      <c r="W352" s="215"/>
    </row>
    <row r="353" spans="1:23" ht="21" x14ac:dyDescent="0.35">
      <c r="A353" s="773"/>
      <c r="B353" s="222" t="s">
        <v>2</v>
      </c>
      <c r="C353" s="222" t="s">
        <v>65</v>
      </c>
      <c r="D353" s="222"/>
      <c r="E353" s="222"/>
      <c r="F353" s="222"/>
      <c r="G353" s="222"/>
      <c r="H353" s="222"/>
      <c r="I353" s="222"/>
      <c r="J353" s="222"/>
      <c r="K353" s="222"/>
      <c r="L353" s="222">
        <f t="shared" si="122"/>
        <v>0</v>
      </c>
      <c r="M353" s="224"/>
      <c r="N353" s="251"/>
      <c r="O353" s="222"/>
      <c r="P353" s="222"/>
      <c r="Q353" s="222"/>
      <c r="R353" s="222"/>
      <c r="S353" s="222"/>
      <c r="T353" s="222"/>
      <c r="U353" s="222"/>
      <c r="V353" s="222">
        <f t="shared" si="123"/>
        <v>0</v>
      </c>
      <c r="W353" s="215"/>
    </row>
    <row r="354" spans="1:23" ht="21" x14ac:dyDescent="0.35">
      <c r="A354" s="773"/>
      <c r="B354" s="222" t="s">
        <v>2</v>
      </c>
      <c r="C354" s="222" t="s">
        <v>74</v>
      </c>
      <c r="D354" s="222"/>
      <c r="E354" s="222"/>
      <c r="F354" s="222"/>
      <c r="G354" s="222"/>
      <c r="H354" s="222"/>
      <c r="I354" s="222"/>
      <c r="J354" s="222"/>
      <c r="K354" s="222"/>
      <c r="L354" s="222">
        <f t="shared" si="122"/>
        <v>0</v>
      </c>
      <c r="M354" s="224"/>
      <c r="N354" s="222"/>
      <c r="O354" s="222"/>
      <c r="P354" s="222"/>
      <c r="Q354" s="222"/>
      <c r="R354" s="222"/>
      <c r="S354" s="222"/>
      <c r="T354" s="222"/>
      <c r="U354" s="222"/>
      <c r="V354" s="222">
        <f t="shared" si="123"/>
        <v>0</v>
      </c>
      <c r="W354" s="215"/>
    </row>
    <row r="355" spans="1:23" ht="21" x14ac:dyDescent="0.35">
      <c r="A355" s="773"/>
      <c r="B355" s="222" t="s">
        <v>2</v>
      </c>
      <c r="C355" s="222" t="s">
        <v>138</v>
      </c>
      <c r="D355" s="222"/>
      <c r="E355" s="222"/>
      <c r="F355" s="222"/>
      <c r="G355" s="222"/>
      <c r="H355" s="222"/>
      <c r="I355" s="222"/>
      <c r="J355" s="222"/>
      <c r="K355" s="222"/>
      <c r="L355" s="222">
        <f t="shared" si="122"/>
        <v>0</v>
      </c>
      <c r="M355" s="224"/>
      <c r="N355" s="251"/>
      <c r="O355" s="229"/>
      <c r="P355" s="222"/>
      <c r="Q355" s="222"/>
      <c r="R355" s="222"/>
      <c r="S355" s="222"/>
      <c r="T355" s="222"/>
      <c r="U355" s="222"/>
      <c r="V355" s="222">
        <f t="shared" si="123"/>
        <v>0</v>
      </c>
      <c r="W355" s="215"/>
    </row>
    <row r="356" spans="1:23" ht="21" x14ac:dyDescent="0.35">
      <c r="A356" s="773"/>
      <c r="B356" s="222" t="s">
        <v>2</v>
      </c>
      <c r="C356" s="222" t="s">
        <v>167</v>
      </c>
      <c r="D356" s="222"/>
      <c r="E356" s="222"/>
      <c r="F356" s="222"/>
      <c r="G356" s="222"/>
      <c r="H356" s="222"/>
      <c r="I356" s="222"/>
      <c r="J356" s="222"/>
      <c r="K356" s="222"/>
      <c r="L356" s="222">
        <f t="shared" si="122"/>
        <v>0</v>
      </c>
      <c r="M356" s="224"/>
      <c r="N356" s="251"/>
      <c r="O356" s="229"/>
      <c r="P356" s="222"/>
      <c r="Q356" s="222"/>
      <c r="R356" s="222"/>
      <c r="S356" s="222"/>
      <c r="T356" s="222"/>
      <c r="U356" s="222"/>
      <c r="V356" s="222">
        <f t="shared" si="123"/>
        <v>0</v>
      </c>
      <c r="W356" s="215"/>
    </row>
    <row r="357" spans="1:23" ht="21" x14ac:dyDescent="0.35">
      <c r="A357" s="774"/>
      <c r="B357" s="222" t="s">
        <v>2</v>
      </c>
      <c r="C357" s="222" t="s">
        <v>292</v>
      </c>
      <c r="D357" s="222"/>
      <c r="E357" s="222"/>
      <c r="F357" s="222"/>
      <c r="G357" s="222"/>
      <c r="H357" s="222"/>
      <c r="I357" s="222"/>
      <c r="J357" s="222"/>
      <c r="K357" s="222"/>
      <c r="L357" s="222">
        <f t="shared" si="122"/>
        <v>0</v>
      </c>
      <c r="M357" s="224"/>
      <c r="N357" s="251"/>
      <c r="O357" s="229"/>
      <c r="P357" s="222"/>
      <c r="Q357" s="222"/>
      <c r="R357" s="222"/>
      <c r="S357" s="222"/>
      <c r="T357" s="222"/>
      <c r="U357" s="222"/>
      <c r="V357" s="222">
        <f t="shared" si="123"/>
        <v>0</v>
      </c>
      <c r="W357" s="215"/>
    </row>
    <row r="358" spans="1:23" ht="21" x14ac:dyDescent="0.35">
      <c r="A358" s="226" t="s">
        <v>109</v>
      </c>
      <c r="B358" s="227"/>
      <c r="C358" s="227"/>
      <c r="D358" s="227">
        <f t="shared" ref="D358:K358" si="130">SUM(D352:D356)</f>
        <v>0</v>
      </c>
      <c r="E358" s="227">
        <f>SUM(E352:E357)</f>
        <v>0</v>
      </c>
      <c r="F358" s="227">
        <f t="shared" si="130"/>
        <v>0</v>
      </c>
      <c r="G358" s="227">
        <f t="shared" si="130"/>
        <v>0</v>
      </c>
      <c r="H358" s="227">
        <f t="shared" si="130"/>
        <v>0</v>
      </c>
      <c r="I358" s="227">
        <f t="shared" si="130"/>
        <v>0</v>
      </c>
      <c r="J358" s="227">
        <f t="shared" si="130"/>
        <v>0</v>
      </c>
      <c r="K358" s="227">
        <f t="shared" si="130"/>
        <v>0</v>
      </c>
      <c r="L358" s="225">
        <f t="shared" si="122"/>
        <v>0</v>
      </c>
      <c r="M358" s="221"/>
      <c r="N358" s="227">
        <f t="shared" ref="N358:U358" si="131">SUM(N352:N356)</f>
        <v>0</v>
      </c>
      <c r="O358" s="227">
        <f t="shared" si="131"/>
        <v>0</v>
      </c>
      <c r="P358" s="227">
        <f t="shared" si="131"/>
        <v>0</v>
      </c>
      <c r="Q358" s="227">
        <f t="shared" si="131"/>
        <v>0</v>
      </c>
      <c r="R358" s="227">
        <f t="shared" si="131"/>
        <v>0</v>
      </c>
      <c r="S358" s="227">
        <f t="shared" si="131"/>
        <v>0</v>
      </c>
      <c r="T358" s="227">
        <f t="shared" si="131"/>
        <v>0</v>
      </c>
      <c r="U358" s="227">
        <f t="shared" si="131"/>
        <v>0</v>
      </c>
      <c r="V358" s="225">
        <f t="shared" si="123"/>
        <v>0</v>
      </c>
      <c r="W358" s="215"/>
    </row>
    <row r="359" spans="1:23" ht="21" x14ac:dyDescent="0.35">
      <c r="A359" s="799" t="s">
        <v>1121</v>
      </c>
      <c r="B359" s="800"/>
      <c r="C359" s="801"/>
      <c r="D359" s="252">
        <f>+D358+D351+D344+D337+D330+D316+D309+D323+D302+D295+D288+D281+D274+D267+D260+D253+D246+D239+D232+D225+D218+D211+D204+D197+D190+D183+D176+D169+D162+D155+D148</f>
        <v>0</v>
      </c>
      <c r="E359" s="252">
        <f>+E358+E351+E344+E337+E330+E316+E309+E323+E302+E295+E288+E281+E274+E267+E260+E253+E246+E239+E232+E225+E218+E211+E204+E197+E190+E183+E176+E169+E162+E155+E148</f>
        <v>0</v>
      </c>
      <c r="F359" s="252">
        <f>+F358+F351+F344+F337+F330+F316+F309+F323+F302+F295+F288+F281+F274+F267+F260+F253+F246+F239+F232+F225+F218+F211+F204+F197+F190+F183+F176+F169+F162+F155+F148</f>
        <v>727770</v>
      </c>
      <c r="G359" s="252">
        <f>+G358+G351+G344+G337+G330+G323+G316+G309+G302+G295+G288+G281+G274+G267+G260+G253+G246+G239+G232+G225+G218+G211+G204+G197+G190+G183+G176+G169+G162+G155+G148</f>
        <v>0</v>
      </c>
      <c r="H359" s="252">
        <f>+H358+H351+H344+H337+H330+H323+H316+H309+H302+H295+H288+H281+H274+H267+H260+H253+H246+H239+H232+H225+H218+H211+H204+H197+H190+H183+H176+H169+H162+H155+H148</f>
        <v>0</v>
      </c>
      <c r="I359" s="252">
        <f>+I358+I351+I344+I337+I330+I323+I316+I309+I302+I295+I288+I281+I274+I267+I260+I253+I246+I239+I232+I225+I218+I211+I204+I197+I190+I183+I176+I169+I162+I155+I148</f>
        <v>582840</v>
      </c>
      <c r="J359" s="252">
        <f>+J358+J351+J344+J337+J330+J323+J316+J309+J302+J295+J288+J281+J274+J267+J260+J253+J246+J239+J232+J225+J218+J211+J204+J197+J190+J183+J176+J169+J162+J155+J148</f>
        <v>747080</v>
      </c>
      <c r="K359" s="252">
        <f>+K358+K351+K344+K337+K330+K323+K316+K309+K302+K295+K288+K281+K274+K267+K260+K253+K246+K239+K232+K225+K218+K211+K204+K197+K190+K183+K176+K169+K162+K155+K148</f>
        <v>0</v>
      </c>
      <c r="L359" s="252">
        <f>+L358+L351+L344+L337+L330+L316+L309+L323+L302+L295+L288+L281+L274+L267+L260+L253+L246+L239+L232+L225+L218+L211+L204+L197+L190+L183+L176+L169+L162+L155+L148</f>
        <v>2057690</v>
      </c>
      <c r="M359" s="221"/>
      <c r="N359" s="252">
        <f>+N358+N351+N344+N337+N330+N316+N309+N323+N302+N295+N288+N281+N274+N267+N260+N253+N246+N239+N232+N225+N218+N211+N204+N197+N190+N183+N176+N169+N162+N155+N148</f>
        <v>260850</v>
      </c>
      <c r="O359" s="252">
        <f>+O358+O351+O344+O337+O330+O316+O309+O323+O302+O295+O288+O281+O274+O267+O260+O253+O246+O239+O232+O225+O218+O211+O204+O197+O190+O183+O176+O169+O162+O155+O148</f>
        <v>142000</v>
      </c>
      <c r="P359" s="252">
        <f>+P358+P351+P344+P337+P330+P316+P309+P323+P302+P295+P288+P281+P274+P267+P260+P253+P246+P239+P232+P225+P218+P211+P204+P197+P190+P183+P176+P169+P162+P155+P148</f>
        <v>0</v>
      </c>
      <c r="Q359" s="252">
        <f t="shared" ref="Q359:U359" si="132">+Q358+Q351+Q344+Q337+Q330+Q316+Q309+Q323+Q302+Q295+Q288+Q281+Q274+Q267+Q260+Q253+Q246+Q239+Q232+Q225+Q218+Q211+Q204+Q197+Q190+Q183+Q176+Q169+Q162+Q155+Q148</f>
        <v>0</v>
      </c>
      <c r="R359" s="252">
        <f t="shared" si="132"/>
        <v>0</v>
      </c>
      <c r="S359" s="252">
        <f t="shared" si="132"/>
        <v>0</v>
      </c>
      <c r="T359" s="252">
        <f t="shared" si="132"/>
        <v>149680</v>
      </c>
      <c r="U359" s="252">
        <f t="shared" si="132"/>
        <v>0</v>
      </c>
      <c r="V359" s="252">
        <f>+V358+V351+V344+V337+V330+V316+V309+V323+V302+V295+V288+V281+V274+V267+V260+V253+V246+V239+V232+V225+V218+V211+V204+V197+V190+V183+V176+V169+V162+V155+V148</f>
        <v>552530</v>
      </c>
      <c r="W359" s="215"/>
    </row>
    <row r="362" spans="1:23" x14ac:dyDescent="0.25">
      <c r="V362" s="35"/>
    </row>
  </sheetData>
  <mergeCells count="60">
    <mergeCell ref="A352:A357"/>
    <mergeCell ref="A359:C359"/>
    <mergeCell ref="A32:A37"/>
    <mergeCell ref="A310:A315"/>
    <mergeCell ref="A317:A322"/>
    <mergeCell ref="A324:A329"/>
    <mergeCell ref="A331:A336"/>
    <mergeCell ref="A338:A343"/>
    <mergeCell ref="A345:A350"/>
    <mergeCell ref="A268:A273"/>
    <mergeCell ref="A275:A280"/>
    <mergeCell ref="A282:A287"/>
    <mergeCell ref="A289:A294"/>
    <mergeCell ref="A296:A301"/>
    <mergeCell ref="A303:A308"/>
    <mergeCell ref="A233:A238"/>
    <mergeCell ref="A240:A245"/>
    <mergeCell ref="A247:A252"/>
    <mergeCell ref="A254:A259"/>
    <mergeCell ref="A80:A85"/>
    <mergeCell ref="A205:A210"/>
    <mergeCell ref="A212:A217"/>
    <mergeCell ref="A88:A93"/>
    <mergeCell ref="A104:A109"/>
    <mergeCell ref="A96:A101"/>
    <mergeCell ref="A128:A133"/>
    <mergeCell ref="A112:A117"/>
    <mergeCell ref="A120:A125"/>
    <mergeCell ref="A72:A77"/>
    <mergeCell ref="A56:A61"/>
    <mergeCell ref="A226:A231"/>
    <mergeCell ref="A1:V1"/>
    <mergeCell ref="A2:L2"/>
    <mergeCell ref="N2:V2"/>
    <mergeCell ref="A4:C4"/>
    <mergeCell ref="A135:C135"/>
    <mergeCell ref="A136:C136"/>
    <mergeCell ref="A137:C137"/>
    <mergeCell ref="A138:V138"/>
    <mergeCell ref="A139:L139"/>
    <mergeCell ref="N139:V139"/>
    <mergeCell ref="A40:A45"/>
    <mergeCell ref="A48:A53"/>
    <mergeCell ref="A64:A69"/>
    <mergeCell ref="A261:A266"/>
    <mergeCell ref="A6:C6"/>
    <mergeCell ref="A219:A224"/>
    <mergeCell ref="A142:A147"/>
    <mergeCell ref="A149:A154"/>
    <mergeCell ref="A156:A161"/>
    <mergeCell ref="A163:A168"/>
    <mergeCell ref="A170:A175"/>
    <mergeCell ref="A177:A182"/>
    <mergeCell ref="A184:A189"/>
    <mergeCell ref="A191:A196"/>
    <mergeCell ref="A198:A203"/>
    <mergeCell ref="A140:C140"/>
    <mergeCell ref="A8:A13"/>
    <mergeCell ref="A16:A21"/>
    <mergeCell ref="A24:A29"/>
  </mergeCells>
  <pageMargins left="0.7" right="0.7" top="0.75" bottom="0.75" header="0.3" footer="0.3"/>
  <pageSetup orientation="portrait" horizontalDpi="180" verticalDpi="18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B050"/>
    <pageSetUpPr fitToPage="1"/>
  </sheetPr>
  <dimension ref="A1:O63"/>
  <sheetViews>
    <sheetView showGridLines="0" topLeftCell="A4" zoomScaleNormal="100" workbookViewId="0">
      <pane xSplit="3" ySplit="2" topLeftCell="D36" activePane="bottomRight" state="frozen"/>
      <selection activeCell="A4" sqref="A4"/>
      <selection pane="topRight" activeCell="D4" sqref="D4"/>
      <selection pane="bottomLeft" activeCell="A6" sqref="A6"/>
      <selection pane="bottomRight" activeCell="C33" sqref="C33"/>
    </sheetView>
  </sheetViews>
  <sheetFormatPr defaultRowHeight="15.75" x14ac:dyDescent="0.25"/>
  <cols>
    <col min="1" max="1" width="4.7109375" style="29" customWidth="1"/>
    <col min="2" max="2" width="10.85546875" style="29" customWidth="1"/>
    <col min="3" max="3" width="36.28515625" style="15" customWidth="1"/>
    <col min="4" max="4" width="6.5703125" style="29" customWidth="1"/>
    <col min="5" max="5" width="17.5703125" style="206" customWidth="1"/>
    <col min="6" max="6" width="6.140625" style="206" customWidth="1"/>
    <col min="7" max="7" width="14.85546875" style="34" bestFit="1" customWidth="1"/>
    <col min="8" max="8" width="14.7109375" style="116" customWidth="1"/>
    <col min="9" max="9" width="10.5703125" style="19" customWidth="1"/>
    <col min="10" max="10" width="11" style="19" customWidth="1"/>
    <col min="11" max="11" width="12.140625" style="19" customWidth="1"/>
    <col min="12" max="12" width="14.85546875" style="19" bestFit="1" customWidth="1"/>
    <col min="13" max="13" width="15.140625" style="19" customWidth="1"/>
    <col min="14" max="14" width="19.28515625" customWidth="1"/>
    <col min="15" max="15" width="17.42578125" customWidth="1"/>
  </cols>
  <sheetData>
    <row r="1" spans="1:15" ht="34.5" x14ac:dyDescent="0.45">
      <c r="A1" s="745" t="s">
        <v>63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1:15" ht="17.25" x14ac:dyDescent="0.3">
      <c r="L2" s="75" t="s">
        <v>62</v>
      </c>
      <c r="M2" s="76">
        <f ca="1">TODAY()</f>
        <v>44848</v>
      </c>
    </row>
    <row r="3" spans="1:15" s="52" customFormat="1" x14ac:dyDescent="0.25">
      <c r="A3" s="45"/>
      <c r="B3" s="45"/>
      <c r="C3" s="46"/>
      <c r="D3" s="45"/>
      <c r="E3" s="296" t="s">
        <v>43</v>
      </c>
      <c r="F3" s="294"/>
      <c r="G3" s="324"/>
      <c r="H3" s="48" t="s">
        <v>111</v>
      </c>
      <c r="I3" s="49" t="s">
        <v>110</v>
      </c>
      <c r="J3" s="50"/>
      <c r="K3" s="49"/>
      <c r="L3" s="51"/>
    </row>
    <row r="4" spans="1:15" s="1" customFormat="1" ht="48.75" customHeight="1" x14ac:dyDescent="0.3">
      <c r="A4" s="746" t="s">
        <v>0</v>
      </c>
      <c r="B4" s="748" t="s">
        <v>37</v>
      </c>
      <c r="C4" s="750" t="s">
        <v>39</v>
      </c>
      <c r="D4" s="300" t="s">
        <v>64</v>
      </c>
      <c r="E4" s="292" t="s">
        <v>3</v>
      </c>
      <c r="F4" s="292" t="s">
        <v>4</v>
      </c>
      <c r="G4" s="308" t="s">
        <v>743</v>
      </c>
      <c r="H4" s="135" t="s">
        <v>6</v>
      </c>
      <c r="I4" s="752" t="s">
        <v>7</v>
      </c>
      <c r="J4" s="753"/>
      <c r="K4" s="752" t="s">
        <v>8</v>
      </c>
      <c r="L4" s="753"/>
      <c r="M4" s="134" t="s">
        <v>55</v>
      </c>
      <c r="N4" s="7" t="s">
        <v>1</v>
      </c>
      <c r="O4" s="62" t="s">
        <v>9</v>
      </c>
    </row>
    <row r="5" spans="1:15" s="1" customFormat="1" ht="24" customHeight="1" x14ac:dyDescent="0.3">
      <c r="A5" s="747"/>
      <c r="B5" s="749"/>
      <c r="C5" s="751"/>
      <c r="D5" s="290"/>
      <c r="E5" s="293"/>
      <c r="F5" s="293"/>
      <c r="G5" s="325" t="s">
        <v>13</v>
      </c>
      <c r="H5" s="21" t="s">
        <v>13</v>
      </c>
      <c r="I5" s="21" t="s">
        <v>51</v>
      </c>
      <c r="J5" s="21" t="s">
        <v>53</v>
      </c>
      <c r="K5" s="21" t="s">
        <v>51</v>
      </c>
      <c r="L5" s="21" t="s">
        <v>52</v>
      </c>
      <c r="M5" s="21" t="s">
        <v>13</v>
      </c>
      <c r="N5" s="7"/>
      <c r="O5" s="64" t="s">
        <v>13</v>
      </c>
    </row>
    <row r="6" spans="1:15" s="3" customFormat="1" x14ac:dyDescent="0.25">
      <c r="A6" s="28" t="s">
        <v>34</v>
      </c>
      <c r="B6" s="31" t="s">
        <v>1024</v>
      </c>
      <c r="C6" s="8" t="s">
        <v>255</v>
      </c>
      <c r="D6" s="645" t="s">
        <v>74</v>
      </c>
      <c r="E6" s="649" t="s">
        <v>54</v>
      </c>
      <c r="F6" s="649" t="s">
        <v>10</v>
      </c>
      <c r="G6" s="326"/>
      <c r="H6" s="32">
        <f>136500+135360</f>
        <v>271860</v>
      </c>
      <c r="I6" s="143"/>
      <c r="J6" s="14"/>
      <c r="K6" s="5"/>
      <c r="L6" s="5"/>
      <c r="M6" s="14">
        <f>H6+J6-L6</f>
        <v>271860</v>
      </c>
      <c r="N6" s="274" t="s">
        <v>40</v>
      </c>
      <c r="O6" s="14">
        <f t="shared" ref="O6:O35" si="0">H6+(I6+J6)-(K6+L6)</f>
        <v>271860</v>
      </c>
    </row>
    <row r="7" spans="1:15" s="3" customFormat="1" x14ac:dyDescent="0.25">
      <c r="A7" s="28" t="s">
        <v>35</v>
      </c>
      <c r="B7" s="31" t="s">
        <v>263</v>
      </c>
      <c r="C7" s="8" t="s">
        <v>264</v>
      </c>
      <c r="D7" s="645" t="s">
        <v>74</v>
      </c>
      <c r="E7" s="649" t="s">
        <v>54</v>
      </c>
      <c r="F7" s="649" t="s">
        <v>10</v>
      </c>
      <c r="G7" s="326"/>
      <c r="H7" s="32">
        <f>130160+128920+78210+104040</f>
        <v>441330</v>
      </c>
      <c r="I7" s="141"/>
      <c r="J7" s="151"/>
      <c r="K7" s="177"/>
      <c r="L7" s="5"/>
      <c r="M7" s="14">
        <f>H7+I7-L7</f>
        <v>441330</v>
      </c>
      <c r="N7" s="274" t="s">
        <v>240</v>
      </c>
      <c r="O7" s="14">
        <f t="shared" si="0"/>
        <v>441330</v>
      </c>
    </row>
    <row r="8" spans="1:15" s="3" customFormat="1" x14ac:dyDescent="0.25">
      <c r="A8" s="28" t="s">
        <v>36</v>
      </c>
      <c r="B8" s="31" t="s">
        <v>263</v>
      </c>
      <c r="C8" s="8" t="s">
        <v>265</v>
      </c>
      <c r="D8" s="645" t="s">
        <v>74</v>
      </c>
      <c r="E8" s="649" t="s">
        <v>54</v>
      </c>
      <c r="F8" s="649" t="s">
        <v>10</v>
      </c>
      <c r="G8" s="326"/>
      <c r="H8" s="32">
        <f>27000+26460</f>
        <v>53460</v>
      </c>
      <c r="I8" s="176"/>
      <c r="J8" s="151"/>
      <c r="K8" s="177"/>
      <c r="L8" s="5"/>
      <c r="M8" s="14">
        <f>H8+I8-L8</f>
        <v>53460</v>
      </c>
      <c r="N8" s="274" t="s">
        <v>267</v>
      </c>
      <c r="O8" s="14">
        <f t="shared" si="0"/>
        <v>53460</v>
      </c>
    </row>
    <row r="9" spans="1:15" s="3" customFormat="1" x14ac:dyDescent="0.25">
      <c r="A9" s="28" t="s">
        <v>18</v>
      </c>
      <c r="B9" s="31" t="s">
        <v>269</v>
      </c>
      <c r="C9" s="8" t="s">
        <v>270</v>
      </c>
      <c r="D9" s="645" t="s">
        <v>183</v>
      </c>
      <c r="E9" s="649" t="s">
        <v>54</v>
      </c>
      <c r="F9" s="649" t="s">
        <v>10</v>
      </c>
      <c r="G9" s="326"/>
      <c r="H9" s="32">
        <f>107640+108580+52550</f>
        <v>268770</v>
      </c>
      <c r="I9" s="25"/>
      <c r="J9" s="10"/>
      <c r="K9" s="5"/>
      <c r="L9" s="5"/>
      <c r="M9" s="14">
        <f t="shared" ref="M9:M43" si="1">H9+J9-L9</f>
        <v>268770</v>
      </c>
      <c r="N9" s="274" t="s">
        <v>40</v>
      </c>
      <c r="O9" s="14">
        <f t="shared" si="0"/>
        <v>268770</v>
      </c>
    </row>
    <row r="10" spans="1:15" s="3" customFormat="1" x14ac:dyDescent="0.25">
      <c r="A10" s="28" t="s">
        <v>19</v>
      </c>
      <c r="B10" s="31" t="s">
        <v>272</v>
      </c>
      <c r="C10" s="8" t="s">
        <v>273</v>
      </c>
      <c r="D10" s="645" t="s">
        <v>74</v>
      </c>
      <c r="E10" s="649" t="s">
        <v>54</v>
      </c>
      <c r="F10" s="649" t="s">
        <v>10</v>
      </c>
      <c r="G10" s="326"/>
      <c r="H10" s="32">
        <v>26330</v>
      </c>
      <c r="I10" s="25"/>
      <c r="J10" s="14"/>
      <c r="K10" s="5"/>
      <c r="L10" s="5"/>
      <c r="M10" s="14">
        <f t="shared" si="1"/>
        <v>26330</v>
      </c>
      <c r="N10" s="274" t="s">
        <v>57</v>
      </c>
      <c r="O10" s="14">
        <f t="shared" si="0"/>
        <v>26330</v>
      </c>
    </row>
    <row r="11" spans="1:15" s="3" customFormat="1" x14ac:dyDescent="0.25">
      <c r="A11" s="28" t="s">
        <v>20</v>
      </c>
      <c r="B11" s="31" t="s">
        <v>276</v>
      </c>
      <c r="C11" s="8" t="s">
        <v>275</v>
      </c>
      <c r="D11" s="645" t="s">
        <v>67</v>
      </c>
      <c r="E11" s="649" t="s">
        <v>54</v>
      </c>
      <c r="F11" s="649" t="s">
        <v>10</v>
      </c>
      <c r="G11" s="326"/>
      <c r="H11" s="32">
        <f>27960+28460+111370</f>
        <v>167790</v>
      </c>
      <c r="I11" s="25"/>
      <c r="J11" s="14"/>
      <c r="K11" s="5"/>
      <c r="L11" s="5"/>
      <c r="M11" s="14">
        <f t="shared" si="1"/>
        <v>167790</v>
      </c>
      <c r="N11" s="274" t="s">
        <v>58</v>
      </c>
      <c r="O11" s="14">
        <f t="shared" si="0"/>
        <v>167790</v>
      </c>
    </row>
    <row r="12" spans="1:15" s="3" customFormat="1" x14ac:dyDescent="0.25">
      <c r="A12" s="28" t="s">
        <v>387</v>
      </c>
      <c r="B12" s="31" t="s">
        <v>276</v>
      </c>
      <c r="C12" s="8" t="s">
        <v>277</v>
      </c>
      <c r="D12" s="645" t="s">
        <v>74</v>
      </c>
      <c r="E12" s="649" t="s">
        <v>54</v>
      </c>
      <c r="F12" s="649" t="s">
        <v>10</v>
      </c>
      <c r="G12" s="326"/>
      <c r="H12" s="32">
        <v>25550</v>
      </c>
      <c r="I12" s="25"/>
      <c r="J12" s="14"/>
      <c r="K12" s="5"/>
      <c r="L12" s="5"/>
      <c r="M12" s="14">
        <f t="shared" si="1"/>
        <v>25550</v>
      </c>
      <c r="N12" s="274" t="s">
        <v>57</v>
      </c>
      <c r="O12" s="14">
        <f t="shared" si="0"/>
        <v>25550</v>
      </c>
    </row>
    <row r="13" spans="1:15" s="3" customFormat="1" x14ac:dyDescent="0.25">
      <c r="A13" s="28" t="s">
        <v>21</v>
      </c>
      <c r="B13" s="31" t="s">
        <v>283</v>
      </c>
      <c r="C13" s="8" t="s">
        <v>284</v>
      </c>
      <c r="D13" s="645" t="s">
        <v>67</v>
      </c>
      <c r="E13" s="649" t="s">
        <v>54</v>
      </c>
      <c r="F13" s="649" t="s">
        <v>10</v>
      </c>
      <c r="G13" s="326"/>
      <c r="H13" s="32">
        <f>53580+26340</f>
        <v>79920</v>
      </c>
      <c r="I13" s="25"/>
      <c r="J13" s="14"/>
      <c r="K13" s="5"/>
      <c r="L13" s="5"/>
      <c r="M13" s="14">
        <f t="shared" si="1"/>
        <v>79920</v>
      </c>
      <c r="N13" s="274" t="s">
        <v>204</v>
      </c>
      <c r="O13" s="14">
        <f t="shared" si="0"/>
        <v>79920</v>
      </c>
    </row>
    <row r="14" spans="1:15" s="3" customFormat="1" x14ac:dyDescent="0.25">
      <c r="A14" s="28" t="s">
        <v>422</v>
      </c>
      <c r="B14" s="31" t="s">
        <v>739</v>
      </c>
      <c r="C14" s="8" t="s">
        <v>288</v>
      </c>
      <c r="D14" s="652" t="s">
        <v>74</v>
      </c>
      <c r="E14" s="649" t="s">
        <v>54</v>
      </c>
      <c r="F14" s="649" t="s">
        <v>10</v>
      </c>
      <c r="G14" s="326"/>
      <c r="H14" s="32">
        <f>100440+128080+152210+125870</f>
        <v>506600</v>
      </c>
      <c r="I14" s="25"/>
      <c r="J14" s="14"/>
      <c r="K14" s="5"/>
      <c r="L14" s="5"/>
      <c r="M14" s="14">
        <f t="shared" si="1"/>
        <v>506600</v>
      </c>
      <c r="N14" s="274" t="s">
        <v>12</v>
      </c>
      <c r="O14" s="14">
        <f t="shared" si="0"/>
        <v>506600</v>
      </c>
    </row>
    <row r="15" spans="1:15" s="3" customFormat="1" x14ac:dyDescent="0.25">
      <c r="A15" s="28" t="s">
        <v>423</v>
      </c>
      <c r="B15" s="31" t="s">
        <v>309</v>
      </c>
      <c r="C15" s="8" t="s">
        <v>310</v>
      </c>
      <c r="D15" s="645" t="s">
        <v>74</v>
      </c>
      <c r="E15" s="649" t="s">
        <v>54</v>
      </c>
      <c r="F15" s="649" t="s">
        <v>10</v>
      </c>
      <c r="G15" s="326"/>
      <c r="H15" s="32">
        <f>82800</f>
        <v>82800</v>
      </c>
      <c r="I15" s="25"/>
      <c r="J15" s="14"/>
      <c r="K15" s="5"/>
      <c r="L15" s="5"/>
      <c r="M15" s="14">
        <f t="shared" si="1"/>
        <v>82800</v>
      </c>
      <c r="N15" s="274" t="s">
        <v>204</v>
      </c>
      <c r="O15" s="14">
        <f t="shared" si="0"/>
        <v>82800</v>
      </c>
    </row>
    <row r="16" spans="1:15" s="3" customFormat="1" x14ac:dyDescent="0.25">
      <c r="A16" s="28" t="s">
        <v>424</v>
      </c>
      <c r="B16" s="31" t="s">
        <v>1023</v>
      </c>
      <c r="C16" s="8" t="s">
        <v>313</v>
      </c>
      <c r="D16" s="645" t="s">
        <v>74</v>
      </c>
      <c r="E16" s="649" t="s">
        <v>54</v>
      </c>
      <c r="F16" s="649" t="s">
        <v>10</v>
      </c>
      <c r="G16" s="326"/>
      <c r="H16" s="32">
        <v>24460</v>
      </c>
      <c r="I16" s="25"/>
      <c r="J16" s="14"/>
      <c r="K16" s="5"/>
      <c r="L16" s="5"/>
      <c r="M16" s="14">
        <f t="shared" si="1"/>
        <v>24460</v>
      </c>
      <c r="N16" s="274" t="s">
        <v>57</v>
      </c>
      <c r="O16" s="14">
        <f t="shared" si="0"/>
        <v>24460</v>
      </c>
    </row>
    <row r="17" spans="1:15" s="3" customFormat="1" x14ac:dyDescent="0.25">
      <c r="A17" s="28" t="s">
        <v>425</v>
      </c>
      <c r="B17" s="31" t="s">
        <v>319</v>
      </c>
      <c r="C17" s="8" t="s">
        <v>322</v>
      </c>
      <c r="D17" s="645" t="s">
        <v>183</v>
      </c>
      <c r="E17" s="649" t="s">
        <v>54</v>
      </c>
      <c r="F17" s="649" t="s">
        <v>10</v>
      </c>
      <c r="G17" s="326"/>
      <c r="H17" s="32">
        <f>110950+55220</f>
        <v>166170</v>
      </c>
      <c r="I17" s="25"/>
      <c r="J17" s="14"/>
      <c r="K17" s="5"/>
      <c r="L17" s="5"/>
      <c r="M17" s="14">
        <f t="shared" si="1"/>
        <v>166170</v>
      </c>
      <c r="N17" s="274" t="s">
        <v>58</v>
      </c>
      <c r="O17" s="14">
        <f t="shared" si="0"/>
        <v>166170</v>
      </c>
    </row>
    <row r="18" spans="1:15" s="3" customFormat="1" x14ac:dyDescent="0.25">
      <c r="A18" s="28" t="s">
        <v>426</v>
      </c>
      <c r="B18" s="31" t="s">
        <v>376</v>
      </c>
      <c r="C18" s="8" t="s">
        <v>375</v>
      </c>
      <c r="D18" s="645" t="s">
        <v>67</v>
      </c>
      <c r="E18" s="649" t="s">
        <v>54</v>
      </c>
      <c r="F18" s="649" t="s">
        <v>10</v>
      </c>
      <c r="G18" s="326"/>
      <c r="H18" s="32">
        <v>51520</v>
      </c>
      <c r="I18" s="25"/>
      <c r="J18" s="14"/>
      <c r="K18" s="5"/>
      <c r="L18" s="5"/>
      <c r="M18" s="14">
        <f t="shared" si="1"/>
        <v>51520</v>
      </c>
      <c r="N18" s="274" t="s">
        <v>344</v>
      </c>
      <c r="O18" s="14">
        <f t="shared" si="0"/>
        <v>51520</v>
      </c>
    </row>
    <row r="19" spans="1:15" s="3" customFormat="1" x14ac:dyDescent="0.25">
      <c r="A19" s="28" t="s">
        <v>427</v>
      </c>
      <c r="B19" s="31" t="s">
        <v>1022</v>
      </c>
      <c r="C19" s="271" t="s">
        <v>385</v>
      </c>
      <c r="D19" s="645" t="s">
        <v>74</v>
      </c>
      <c r="E19" s="649" t="s">
        <v>54</v>
      </c>
      <c r="F19" s="649" t="s">
        <v>10</v>
      </c>
      <c r="G19" s="326"/>
      <c r="H19" s="32">
        <f>105110+78370+130090+79390+128590</f>
        <v>521550</v>
      </c>
      <c r="I19" s="25"/>
      <c r="J19" s="14"/>
      <c r="K19" s="5"/>
      <c r="L19" s="201">
        <f>'2801'!H16</f>
        <v>344740</v>
      </c>
      <c r="M19" s="14">
        <f t="shared" si="1"/>
        <v>176810</v>
      </c>
      <c r="N19" s="274" t="s">
        <v>12</v>
      </c>
      <c r="O19" s="14">
        <f t="shared" si="0"/>
        <v>176810</v>
      </c>
    </row>
    <row r="20" spans="1:15" s="3" customFormat="1" x14ac:dyDescent="0.25">
      <c r="A20" s="28" t="s">
        <v>24</v>
      </c>
      <c r="B20" s="31" t="s">
        <v>397</v>
      </c>
      <c r="C20" s="8" t="s">
        <v>399</v>
      </c>
      <c r="D20" s="645" t="s">
        <v>134</v>
      </c>
      <c r="E20" s="649" t="s">
        <v>54</v>
      </c>
      <c r="F20" s="649" t="s">
        <v>10</v>
      </c>
      <c r="G20" s="326"/>
      <c r="H20" s="32">
        <f>96400</f>
        <v>96400</v>
      </c>
      <c r="I20" s="25"/>
      <c r="J20" s="14"/>
      <c r="K20" s="5"/>
      <c r="L20" s="5"/>
      <c r="M20" s="14">
        <f t="shared" si="1"/>
        <v>96400</v>
      </c>
      <c r="N20" s="274" t="s">
        <v>329</v>
      </c>
      <c r="O20" s="14">
        <f t="shared" si="0"/>
        <v>96400</v>
      </c>
    </row>
    <row r="21" spans="1:15" s="3" customFormat="1" x14ac:dyDescent="0.25">
      <c r="A21" s="28" t="s">
        <v>25</v>
      </c>
      <c r="B21" s="31" t="s">
        <v>401</v>
      </c>
      <c r="C21" s="8" t="s">
        <v>402</v>
      </c>
      <c r="D21" s="645" t="s">
        <v>183</v>
      </c>
      <c r="E21" s="649" t="s">
        <v>54</v>
      </c>
      <c r="F21" s="649" t="s">
        <v>10</v>
      </c>
      <c r="G21" s="326"/>
      <c r="H21" s="32">
        <f>98170+75060+124400+25810</f>
        <v>323440</v>
      </c>
      <c r="I21" s="25"/>
      <c r="J21" s="14"/>
      <c r="K21" s="5"/>
      <c r="L21" s="5"/>
      <c r="M21" s="14">
        <f t="shared" si="1"/>
        <v>323440</v>
      </c>
      <c r="N21" s="274" t="s">
        <v>403</v>
      </c>
      <c r="O21" s="14">
        <f t="shared" si="0"/>
        <v>323440</v>
      </c>
    </row>
    <row r="22" spans="1:15" s="3" customFormat="1" x14ac:dyDescent="0.25">
      <c r="A22" s="28" t="s">
        <v>29</v>
      </c>
      <c r="B22" s="31" t="s">
        <v>464</v>
      </c>
      <c r="C22" s="8" t="s">
        <v>465</v>
      </c>
      <c r="D22" s="645" t="s">
        <v>134</v>
      </c>
      <c r="E22" s="649" t="s">
        <v>54</v>
      </c>
      <c r="F22" s="649" t="s">
        <v>10</v>
      </c>
      <c r="G22" s="326"/>
      <c r="H22" s="32">
        <v>50830</v>
      </c>
      <c r="I22" s="25"/>
      <c r="J22" s="14"/>
      <c r="K22" s="5"/>
      <c r="L22" s="5"/>
      <c r="M22" s="14">
        <f t="shared" si="1"/>
        <v>50830</v>
      </c>
      <c r="N22" s="274" t="s">
        <v>344</v>
      </c>
      <c r="O22" s="14">
        <f t="shared" si="0"/>
        <v>50830</v>
      </c>
    </row>
    <row r="23" spans="1:15" s="3" customFormat="1" x14ac:dyDescent="0.25">
      <c r="A23" s="28" t="s">
        <v>31</v>
      </c>
      <c r="B23" s="31" t="s">
        <v>507</v>
      </c>
      <c r="C23" s="8" t="s">
        <v>510</v>
      </c>
      <c r="D23" s="645" t="s">
        <v>134</v>
      </c>
      <c r="E23" s="649" t="s">
        <v>54</v>
      </c>
      <c r="F23" s="649" t="s">
        <v>10</v>
      </c>
      <c r="G23" s="326"/>
      <c r="H23" s="32">
        <v>24470</v>
      </c>
      <c r="I23" s="25"/>
      <c r="J23" s="14"/>
      <c r="K23" s="5"/>
      <c r="L23" s="5"/>
      <c r="M23" s="14">
        <f t="shared" si="1"/>
        <v>24470</v>
      </c>
      <c r="N23" s="274" t="s">
        <v>57</v>
      </c>
      <c r="O23" s="14">
        <f t="shared" si="0"/>
        <v>24470</v>
      </c>
    </row>
    <row r="24" spans="1:15" s="3" customFormat="1" x14ac:dyDescent="0.25">
      <c r="A24" s="28" t="s">
        <v>192</v>
      </c>
      <c r="B24" s="31" t="s">
        <v>682</v>
      </c>
      <c r="C24" s="8" t="s">
        <v>686</v>
      </c>
      <c r="D24" s="645" t="s">
        <v>74</v>
      </c>
      <c r="E24" s="356" t="s">
        <v>54</v>
      </c>
      <c r="F24" s="656" t="s">
        <v>10</v>
      </c>
      <c r="G24" s="326"/>
      <c r="H24" s="32">
        <v>80360</v>
      </c>
      <c r="I24" s="25"/>
      <c r="J24" s="14"/>
      <c r="K24" s="5"/>
      <c r="L24" s="5"/>
      <c r="M24" s="14">
        <f t="shared" si="1"/>
        <v>80360</v>
      </c>
      <c r="N24" s="274" t="s">
        <v>204</v>
      </c>
      <c r="O24" s="14">
        <f t="shared" si="0"/>
        <v>80360</v>
      </c>
    </row>
    <row r="25" spans="1:15" s="3" customFormat="1" x14ac:dyDescent="0.25">
      <c r="A25" s="28" t="s">
        <v>194</v>
      </c>
      <c r="B25" s="282" t="s">
        <v>754</v>
      </c>
      <c r="C25" s="283" t="s">
        <v>752</v>
      </c>
      <c r="D25" s="645" t="s">
        <v>186</v>
      </c>
      <c r="E25" s="654" t="s">
        <v>54</v>
      </c>
      <c r="F25" s="356" t="s">
        <v>10</v>
      </c>
      <c r="G25" s="375">
        <v>25670</v>
      </c>
      <c r="H25" s="302">
        <v>26000</v>
      </c>
      <c r="I25" s="284"/>
      <c r="J25" s="167"/>
      <c r="K25" s="285"/>
      <c r="L25" s="285"/>
      <c r="M25" s="167">
        <f t="shared" si="1"/>
        <v>26000</v>
      </c>
      <c r="N25" s="322" t="s">
        <v>57</v>
      </c>
      <c r="O25" s="167">
        <f t="shared" si="0"/>
        <v>26000</v>
      </c>
    </row>
    <row r="26" spans="1:15" s="3" customFormat="1" x14ac:dyDescent="0.25">
      <c r="A26" s="28" t="s">
        <v>195</v>
      </c>
      <c r="B26" s="282" t="s">
        <v>754</v>
      </c>
      <c r="C26" s="283" t="s">
        <v>753</v>
      </c>
      <c r="D26" s="645" t="s">
        <v>183</v>
      </c>
      <c r="E26" s="654" t="s">
        <v>54</v>
      </c>
      <c r="F26" s="356" t="s">
        <v>10</v>
      </c>
      <c r="G26" s="375">
        <v>51130</v>
      </c>
      <c r="H26" s="302">
        <v>51620</v>
      </c>
      <c r="I26" s="284"/>
      <c r="J26" s="167"/>
      <c r="K26" s="285"/>
      <c r="L26" s="285"/>
      <c r="M26" s="167">
        <f t="shared" si="1"/>
        <v>51620</v>
      </c>
      <c r="N26" s="322" t="s">
        <v>344</v>
      </c>
      <c r="O26" s="167">
        <f t="shared" si="0"/>
        <v>51620</v>
      </c>
    </row>
    <row r="27" spans="1:15" s="3" customFormat="1" x14ac:dyDescent="0.25">
      <c r="A27" s="28" t="s">
        <v>197</v>
      </c>
      <c r="B27" s="282" t="s">
        <v>773</v>
      </c>
      <c r="C27" s="283" t="s">
        <v>774</v>
      </c>
      <c r="D27" s="645" t="s">
        <v>183</v>
      </c>
      <c r="E27" s="654" t="s">
        <v>54</v>
      </c>
      <c r="F27" s="356" t="s">
        <v>10</v>
      </c>
      <c r="G27" s="375">
        <v>247320</v>
      </c>
      <c r="H27" s="302">
        <f>125220+125300</f>
        <v>250520</v>
      </c>
      <c r="I27" s="284"/>
      <c r="J27" s="167"/>
      <c r="K27" s="285"/>
      <c r="L27" s="285"/>
      <c r="M27" s="167">
        <f t="shared" si="1"/>
        <v>250520</v>
      </c>
      <c r="N27" s="322" t="s">
        <v>40</v>
      </c>
      <c r="O27" s="167">
        <f t="shared" si="0"/>
        <v>250520</v>
      </c>
    </row>
    <row r="28" spans="1:15" s="3" customFormat="1" x14ac:dyDescent="0.25">
      <c r="A28" s="28" t="s">
        <v>198</v>
      </c>
      <c r="B28" s="282" t="s">
        <v>779</v>
      </c>
      <c r="C28" s="283" t="s">
        <v>781</v>
      </c>
      <c r="D28" s="645" t="s">
        <v>183</v>
      </c>
      <c r="E28" s="654" t="s">
        <v>54</v>
      </c>
      <c r="F28" s="356" t="s">
        <v>10</v>
      </c>
      <c r="G28" s="375">
        <v>249390</v>
      </c>
      <c r="H28" s="302">
        <f>128370+123650</f>
        <v>252020</v>
      </c>
      <c r="I28" s="284"/>
      <c r="J28" s="167"/>
      <c r="K28" s="285"/>
      <c r="L28" s="285"/>
      <c r="M28" s="167">
        <f t="shared" si="1"/>
        <v>252020</v>
      </c>
      <c r="N28" s="322" t="s">
        <v>40</v>
      </c>
      <c r="O28" s="167">
        <f t="shared" si="0"/>
        <v>252020</v>
      </c>
    </row>
    <row r="29" spans="1:15" s="3" customFormat="1" x14ac:dyDescent="0.25">
      <c r="A29" s="28" t="s">
        <v>225</v>
      </c>
      <c r="B29" s="282" t="s">
        <v>879</v>
      </c>
      <c r="C29" s="418" t="s">
        <v>880</v>
      </c>
      <c r="D29" s="657" t="s">
        <v>74</v>
      </c>
      <c r="E29" s="654" t="s">
        <v>54</v>
      </c>
      <c r="F29" s="356" t="s">
        <v>10</v>
      </c>
      <c r="G29" s="375">
        <v>270040</v>
      </c>
      <c r="H29" s="302">
        <v>271330</v>
      </c>
      <c r="I29" s="284"/>
      <c r="J29" s="167"/>
      <c r="K29" s="285"/>
      <c r="L29" s="285"/>
      <c r="M29" s="167">
        <f t="shared" si="1"/>
        <v>271330</v>
      </c>
      <c r="N29" s="322" t="s">
        <v>40</v>
      </c>
      <c r="O29" s="167">
        <f t="shared" si="0"/>
        <v>271330</v>
      </c>
    </row>
    <row r="30" spans="1:15" s="3" customFormat="1" x14ac:dyDescent="0.25">
      <c r="A30" s="28" t="s">
        <v>226</v>
      </c>
      <c r="B30" s="31" t="s">
        <v>916</v>
      </c>
      <c r="C30" s="8" t="s">
        <v>917</v>
      </c>
      <c r="D30" s="645"/>
      <c r="E30" s="654" t="s">
        <v>54</v>
      </c>
      <c r="F30" s="356" t="s">
        <v>10</v>
      </c>
      <c r="G30" s="375">
        <v>389152</v>
      </c>
      <c r="H30" s="302">
        <f>28200+219550+138740</f>
        <v>386490</v>
      </c>
      <c r="I30" s="25"/>
      <c r="J30" s="14"/>
      <c r="K30" s="5"/>
      <c r="L30" s="5"/>
      <c r="M30" s="14">
        <f t="shared" si="1"/>
        <v>386490</v>
      </c>
      <c r="N30" s="274" t="s">
        <v>15</v>
      </c>
      <c r="O30" s="14">
        <f t="shared" si="0"/>
        <v>386490</v>
      </c>
    </row>
    <row r="31" spans="1:15" s="3" customFormat="1" x14ac:dyDescent="0.25">
      <c r="A31" s="28" t="s">
        <v>228</v>
      </c>
      <c r="B31" s="31" t="s">
        <v>931</v>
      </c>
      <c r="C31" s="8" t="s">
        <v>937</v>
      </c>
      <c r="D31" s="645" t="s">
        <v>74</v>
      </c>
      <c r="E31" s="356" t="s">
        <v>54</v>
      </c>
      <c r="F31" s="649" t="s">
        <v>10</v>
      </c>
      <c r="G31" s="326">
        <v>239160</v>
      </c>
      <c r="H31" s="302">
        <f>77780+156220</f>
        <v>234000</v>
      </c>
      <c r="I31" s="25"/>
      <c r="J31" s="14"/>
      <c r="K31" s="5"/>
      <c r="L31" s="5"/>
      <c r="M31" s="14">
        <f t="shared" si="1"/>
        <v>234000</v>
      </c>
      <c r="N31" s="274" t="s">
        <v>332</v>
      </c>
      <c r="O31" s="14">
        <f t="shared" si="0"/>
        <v>234000</v>
      </c>
    </row>
    <row r="32" spans="1:15" s="3" customFormat="1" x14ac:dyDescent="0.25">
      <c r="A32" s="28" t="s">
        <v>229</v>
      </c>
      <c r="B32" s="31" t="s">
        <v>938</v>
      </c>
      <c r="C32" s="8" t="s">
        <v>939</v>
      </c>
      <c r="D32" s="645" t="s">
        <v>183</v>
      </c>
      <c r="E32" s="356" t="s">
        <v>54</v>
      </c>
      <c r="F32" s="649" t="s">
        <v>10</v>
      </c>
      <c r="G32" s="326">
        <v>307380</v>
      </c>
      <c r="H32" s="302">
        <f>168340+110370+27890</f>
        <v>306600</v>
      </c>
      <c r="I32" s="25"/>
      <c r="J32" s="14"/>
      <c r="K32" s="5"/>
      <c r="L32" s="5"/>
      <c r="M32" s="14">
        <f t="shared" si="1"/>
        <v>306600</v>
      </c>
      <c r="N32" s="274" t="s">
        <v>16</v>
      </c>
      <c r="O32" s="14">
        <f t="shared" si="0"/>
        <v>306600</v>
      </c>
    </row>
    <row r="33" spans="1:15" s="3" customFormat="1" x14ac:dyDescent="0.25">
      <c r="A33" s="28" t="s">
        <v>230</v>
      </c>
      <c r="B33" s="31" t="s">
        <v>940</v>
      </c>
      <c r="C33" s="8" t="s">
        <v>942</v>
      </c>
      <c r="D33" s="645" t="s">
        <v>183</v>
      </c>
      <c r="E33" s="356" t="s">
        <v>54</v>
      </c>
      <c r="F33" s="649" t="s">
        <v>10</v>
      </c>
      <c r="G33" s="326">
        <v>471250</v>
      </c>
      <c r="H33" s="302">
        <f>83060+194440+138590+55670</f>
        <v>471760</v>
      </c>
      <c r="I33" s="25"/>
      <c r="J33" s="14"/>
      <c r="K33" s="5"/>
      <c r="L33" s="5"/>
      <c r="M33" s="14">
        <f t="shared" si="1"/>
        <v>471760</v>
      </c>
      <c r="N33" s="274" t="s">
        <v>364</v>
      </c>
      <c r="O33" s="14">
        <f t="shared" si="0"/>
        <v>471760</v>
      </c>
    </row>
    <row r="34" spans="1:15" s="3" customFormat="1" x14ac:dyDescent="0.25">
      <c r="A34" s="28" t="s">
        <v>231</v>
      </c>
      <c r="B34" s="31" t="s">
        <v>989</v>
      </c>
      <c r="C34" s="8" t="s">
        <v>990</v>
      </c>
      <c r="D34" s="645" t="s">
        <v>74</v>
      </c>
      <c r="E34" s="356" t="s">
        <v>54</v>
      </c>
      <c r="F34" s="649" t="s">
        <v>10</v>
      </c>
      <c r="G34" s="326">
        <v>102730</v>
      </c>
      <c r="H34" s="302">
        <f>52250+51420</f>
        <v>103670</v>
      </c>
      <c r="I34" s="25"/>
      <c r="J34" s="14"/>
      <c r="K34" s="5"/>
      <c r="L34" s="5"/>
      <c r="M34" s="14">
        <f t="shared" si="1"/>
        <v>103670</v>
      </c>
      <c r="N34" s="274" t="s">
        <v>329</v>
      </c>
      <c r="O34" s="14">
        <f t="shared" si="0"/>
        <v>103670</v>
      </c>
    </row>
    <row r="35" spans="1:15" s="3" customFormat="1" x14ac:dyDescent="0.25">
      <c r="A35" s="499" t="s">
        <v>30</v>
      </c>
      <c r="B35" s="500" t="s">
        <v>583</v>
      </c>
      <c r="C35" s="532" t="s">
        <v>584</v>
      </c>
      <c r="D35" s="643" t="s">
        <v>134</v>
      </c>
      <c r="E35" s="655" t="s">
        <v>54</v>
      </c>
      <c r="F35" s="648" t="s">
        <v>10</v>
      </c>
      <c r="G35" s="504"/>
      <c r="H35" s="608">
        <v>284000</v>
      </c>
      <c r="I35" s="505"/>
      <c r="J35" s="506"/>
      <c r="K35" s="507"/>
      <c r="L35" s="507"/>
      <c r="M35" s="506">
        <f t="shared" si="1"/>
        <v>284000</v>
      </c>
      <c r="N35" s="524" t="s">
        <v>947</v>
      </c>
      <c r="O35" s="506">
        <f t="shared" si="0"/>
        <v>284000</v>
      </c>
    </row>
    <row r="36" spans="1:15" s="510" customFormat="1" x14ac:dyDescent="0.25">
      <c r="A36" s="499" t="s">
        <v>239</v>
      </c>
      <c r="B36" s="500" t="s">
        <v>620</v>
      </c>
      <c r="C36" s="501" t="s">
        <v>629</v>
      </c>
      <c r="D36" s="643" t="s">
        <v>183</v>
      </c>
      <c r="E36" s="651" t="s">
        <v>54</v>
      </c>
      <c r="F36" s="648" t="s">
        <v>10</v>
      </c>
      <c r="G36" s="504"/>
      <c r="H36" s="537">
        <v>168490</v>
      </c>
      <c r="I36" s="505"/>
      <c r="J36" s="506"/>
      <c r="K36" s="507"/>
      <c r="L36" s="507"/>
      <c r="M36" s="506">
        <f t="shared" si="1"/>
        <v>168490</v>
      </c>
      <c r="N36" s="524" t="s">
        <v>947</v>
      </c>
      <c r="O36" s="509">
        <f>+H36+I36-K36</f>
        <v>168490</v>
      </c>
    </row>
    <row r="37" spans="1:15" s="510" customFormat="1" x14ac:dyDescent="0.25">
      <c r="A37" s="499" t="s">
        <v>662</v>
      </c>
      <c r="B37" s="500" t="s">
        <v>852</v>
      </c>
      <c r="C37" s="532" t="s">
        <v>853</v>
      </c>
      <c r="D37" s="643" t="s">
        <v>74</v>
      </c>
      <c r="E37" s="655" t="s">
        <v>54</v>
      </c>
      <c r="F37" s="648" t="s">
        <v>10</v>
      </c>
      <c r="G37" s="504">
        <v>49830</v>
      </c>
      <c r="H37" s="608">
        <v>50100</v>
      </c>
      <c r="I37" s="505"/>
      <c r="J37" s="506"/>
      <c r="K37" s="507"/>
      <c r="L37" s="507"/>
      <c r="M37" s="506">
        <f t="shared" si="1"/>
        <v>50100</v>
      </c>
      <c r="N37" s="524" t="s">
        <v>947</v>
      </c>
      <c r="O37" s="506">
        <v>50100</v>
      </c>
    </row>
    <row r="38" spans="1:15" s="3" customFormat="1" x14ac:dyDescent="0.25">
      <c r="A38" s="28" t="s">
        <v>236</v>
      </c>
      <c r="B38" s="31" t="s">
        <v>1084</v>
      </c>
      <c r="C38" s="8" t="s">
        <v>1085</v>
      </c>
      <c r="D38" s="645" t="s">
        <v>74</v>
      </c>
      <c r="E38" s="356" t="s">
        <v>54</v>
      </c>
      <c r="F38" s="649" t="s">
        <v>10</v>
      </c>
      <c r="G38" s="326">
        <v>424560</v>
      </c>
      <c r="H38" s="302">
        <f>159620+159300+107250</f>
        <v>426170</v>
      </c>
      <c r="I38" s="25"/>
      <c r="J38" s="14"/>
      <c r="K38" s="5"/>
      <c r="L38" s="5"/>
      <c r="M38" s="14">
        <f t="shared" si="1"/>
        <v>426170</v>
      </c>
      <c r="N38" s="274" t="s">
        <v>317</v>
      </c>
      <c r="O38" s="14">
        <f t="shared" ref="O38:O42" si="2">H38+(I38+J38)-(K38+L38)</f>
        <v>426170</v>
      </c>
    </row>
    <row r="39" spans="1:15" s="3" customFormat="1" x14ac:dyDescent="0.25">
      <c r="A39" s="28"/>
      <c r="B39" s="31" t="s">
        <v>1100</v>
      </c>
      <c r="C39" s="8" t="s">
        <v>1101</v>
      </c>
      <c r="D39" s="645" t="s">
        <v>74</v>
      </c>
      <c r="E39" s="356" t="s">
        <v>54</v>
      </c>
      <c r="F39" s="649" t="s">
        <v>10</v>
      </c>
      <c r="G39" s="326">
        <v>488240</v>
      </c>
      <c r="H39" s="302">
        <f>146690+172440+172810</f>
        <v>491940</v>
      </c>
      <c r="I39" s="25"/>
      <c r="J39" s="14"/>
      <c r="K39" s="5"/>
      <c r="L39" s="5"/>
      <c r="M39" s="14">
        <f t="shared" si="1"/>
        <v>491940</v>
      </c>
      <c r="N39" s="274" t="s">
        <v>12</v>
      </c>
      <c r="O39" s="14">
        <f t="shared" si="2"/>
        <v>491940</v>
      </c>
    </row>
    <row r="40" spans="1:15" s="3" customFormat="1" x14ac:dyDescent="0.25">
      <c r="A40" s="28"/>
      <c r="B40" s="31"/>
      <c r="C40" s="8"/>
      <c r="D40" s="645"/>
      <c r="E40" s="356" t="s">
        <v>54</v>
      </c>
      <c r="F40" s="649" t="s">
        <v>10</v>
      </c>
      <c r="G40" s="326"/>
      <c r="H40" s="373"/>
      <c r="I40" s="25"/>
      <c r="J40" s="14"/>
      <c r="K40" s="5"/>
      <c r="L40" s="5"/>
      <c r="M40" s="14">
        <f t="shared" si="1"/>
        <v>0</v>
      </c>
      <c r="N40" s="274"/>
      <c r="O40" s="14">
        <f t="shared" si="2"/>
        <v>0</v>
      </c>
    </row>
    <row r="41" spans="1:15" s="3" customFormat="1" x14ac:dyDescent="0.25">
      <c r="A41" s="28"/>
      <c r="B41" s="31"/>
      <c r="C41" s="8"/>
      <c r="D41" s="645"/>
      <c r="E41" s="356" t="s">
        <v>54</v>
      </c>
      <c r="F41" s="649" t="s">
        <v>10</v>
      </c>
      <c r="G41" s="326"/>
      <c r="H41" s="373"/>
      <c r="I41" s="25"/>
      <c r="J41" s="14"/>
      <c r="K41" s="5"/>
      <c r="L41" s="5"/>
      <c r="M41" s="14">
        <f t="shared" si="1"/>
        <v>0</v>
      </c>
      <c r="N41" s="274"/>
      <c r="O41" s="14">
        <f t="shared" si="2"/>
        <v>0</v>
      </c>
    </row>
    <row r="42" spans="1:15" s="3" customFormat="1" x14ac:dyDescent="0.25">
      <c r="A42" s="28" t="s">
        <v>236</v>
      </c>
      <c r="B42" s="31"/>
      <c r="C42" s="8"/>
      <c r="D42" s="645"/>
      <c r="E42" s="356" t="s">
        <v>54</v>
      </c>
      <c r="F42" s="649" t="s">
        <v>10</v>
      </c>
      <c r="G42" s="326"/>
      <c r="H42" s="373"/>
      <c r="I42" s="25"/>
      <c r="J42" s="14"/>
      <c r="K42" s="5"/>
      <c r="L42" s="5"/>
      <c r="M42" s="14">
        <f t="shared" si="1"/>
        <v>0</v>
      </c>
      <c r="N42" s="274"/>
      <c r="O42" s="14">
        <f t="shared" si="2"/>
        <v>0</v>
      </c>
    </row>
    <row r="43" spans="1:15" s="3" customFormat="1" x14ac:dyDescent="0.25">
      <c r="A43" s="28" t="s">
        <v>237</v>
      </c>
      <c r="B43" s="31"/>
      <c r="C43" s="8"/>
      <c r="D43" s="645"/>
      <c r="E43" s="649" t="s">
        <v>54</v>
      </c>
      <c r="F43" s="649" t="s">
        <v>10</v>
      </c>
      <c r="G43" s="326"/>
      <c r="H43" s="373"/>
      <c r="I43" s="25"/>
      <c r="J43" s="14"/>
      <c r="K43" s="5"/>
      <c r="L43" s="5"/>
      <c r="M43" s="14">
        <f t="shared" si="1"/>
        <v>0</v>
      </c>
      <c r="N43" s="319"/>
      <c r="O43" s="14">
        <f>H43+(I43+J43)-(K43+L43)</f>
        <v>0</v>
      </c>
    </row>
    <row r="44" spans="1:15" s="3" customFormat="1" ht="20.25" x14ac:dyDescent="0.3">
      <c r="A44" s="802" t="s">
        <v>5</v>
      </c>
      <c r="B44" s="803"/>
      <c r="C44" s="803"/>
      <c r="D44" s="803"/>
      <c r="E44" s="803"/>
      <c r="F44" s="804"/>
      <c r="G44" s="328">
        <f t="shared" ref="G44:M44" si="3">SUM(G6:G43)</f>
        <v>3315852</v>
      </c>
      <c r="H44" s="132">
        <f t="shared" si="3"/>
        <v>7038320</v>
      </c>
      <c r="I44" s="26">
        <f t="shared" si="3"/>
        <v>0</v>
      </c>
      <c r="J44" s="6">
        <f t="shared" si="3"/>
        <v>0</v>
      </c>
      <c r="K44" s="6">
        <f t="shared" si="3"/>
        <v>0</v>
      </c>
      <c r="L44" s="6">
        <f t="shared" si="3"/>
        <v>344740</v>
      </c>
      <c r="M44" s="66">
        <f t="shared" si="3"/>
        <v>6693580</v>
      </c>
      <c r="N44" s="275"/>
      <c r="O44" s="68">
        <f>SUM(O6:O43)</f>
        <v>6693580</v>
      </c>
    </row>
    <row r="45" spans="1:15" s="3" customFormat="1" x14ac:dyDescent="0.25">
      <c r="A45" s="29"/>
      <c r="B45" s="29"/>
      <c r="C45" s="15"/>
      <c r="D45" s="29"/>
      <c r="E45" s="206"/>
      <c r="F45" s="206"/>
      <c r="G45" s="34"/>
      <c r="H45" s="116"/>
      <c r="I45" s="19"/>
      <c r="J45" s="19"/>
      <c r="K45" s="19"/>
      <c r="L45" s="19"/>
      <c r="M45" s="19"/>
      <c r="N45"/>
      <c r="O45"/>
    </row>
    <row r="46" spans="1:15" s="3" customFormat="1" x14ac:dyDescent="0.25">
      <c r="A46" s="29"/>
      <c r="B46" s="29"/>
      <c r="C46" s="15"/>
      <c r="D46" s="29"/>
      <c r="E46" s="206"/>
      <c r="F46" s="206"/>
      <c r="G46" s="34"/>
      <c r="H46" s="116"/>
      <c r="I46" s="19"/>
      <c r="J46" s="19"/>
      <c r="K46" s="19"/>
      <c r="L46" s="19"/>
      <c r="M46" s="19"/>
      <c r="N46"/>
      <c r="O46"/>
    </row>
    <row r="47" spans="1:15" s="3" customFormat="1" x14ac:dyDescent="0.25">
      <c r="A47" s="29"/>
      <c r="B47" s="29"/>
      <c r="C47" s="15"/>
      <c r="D47" s="29"/>
      <c r="E47" s="206"/>
      <c r="F47" s="206"/>
      <c r="G47" s="34"/>
      <c r="H47" s="116"/>
      <c r="I47" s="19"/>
      <c r="J47" s="19"/>
      <c r="K47" s="19"/>
      <c r="L47" s="19"/>
      <c r="M47" s="19"/>
      <c r="N47"/>
      <c r="O47"/>
    </row>
    <row r="48" spans="1:15" s="3" customFormat="1" x14ac:dyDescent="0.25">
      <c r="A48" s="29"/>
      <c r="B48" s="29"/>
      <c r="C48" s="15"/>
      <c r="D48" s="29"/>
      <c r="E48" s="206"/>
      <c r="F48" s="206"/>
      <c r="G48" s="34"/>
      <c r="H48" s="116"/>
      <c r="I48" s="19"/>
      <c r="J48" s="19"/>
      <c r="K48" s="19"/>
      <c r="L48" s="19"/>
      <c r="M48" s="19"/>
      <c r="N48"/>
      <c r="O48"/>
    </row>
    <row r="49" spans="1:15" s="3" customFormat="1" x14ac:dyDescent="0.25">
      <c r="A49" s="29"/>
      <c r="B49" s="29"/>
      <c r="C49" s="15"/>
      <c r="D49" s="29"/>
      <c r="E49" s="206"/>
      <c r="F49" s="206"/>
      <c r="G49" s="34"/>
      <c r="H49" s="116"/>
      <c r="I49" s="19"/>
      <c r="J49" s="19"/>
      <c r="K49" s="19"/>
      <c r="L49" s="19"/>
      <c r="M49" s="19"/>
      <c r="N49"/>
      <c r="O49"/>
    </row>
    <row r="50" spans="1:15" s="3" customFormat="1" x14ac:dyDescent="0.25">
      <c r="A50" s="29"/>
      <c r="B50" s="29"/>
      <c r="C50" s="15"/>
      <c r="D50" s="29"/>
      <c r="E50" s="206"/>
      <c r="F50" s="206"/>
      <c r="G50" s="34"/>
      <c r="H50" s="116"/>
      <c r="I50" s="19"/>
      <c r="J50" s="19"/>
      <c r="K50" s="19"/>
      <c r="L50" s="19"/>
      <c r="M50" s="19"/>
      <c r="N50"/>
      <c r="O50"/>
    </row>
    <row r="51" spans="1:15" s="3" customFormat="1" x14ac:dyDescent="0.25">
      <c r="A51" s="29"/>
      <c r="B51" s="29"/>
      <c r="C51" s="15"/>
      <c r="D51" s="29"/>
      <c r="E51" s="206"/>
      <c r="F51" s="206"/>
      <c r="G51" s="34"/>
      <c r="H51" s="116"/>
      <c r="I51" s="19"/>
      <c r="J51" s="19"/>
      <c r="K51" s="19"/>
      <c r="L51" s="19"/>
      <c r="M51" s="19"/>
      <c r="N51"/>
      <c r="O51"/>
    </row>
    <row r="52" spans="1:15" s="3" customFormat="1" x14ac:dyDescent="0.25">
      <c r="A52" s="29"/>
      <c r="B52" s="29"/>
      <c r="C52" s="15"/>
      <c r="D52" s="29"/>
      <c r="E52" s="206"/>
      <c r="F52" s="206"/>
      <c r="G52" s="34"/>
      <c r="H52" s="116"/>
      <c r="I52" s="19"/>
      <c r="J52" s="19"/>
      <c r="K52" s="19"/>
      <c r="L52" s="19"/>
      <c r="M52" s="19"/>
      <c r="N52"/>
      <c r="O52"/>
    </row>
    <row r="53" spans="1:15" s="3" customFormat="1" x14ac:dyDescent="0.25">
      <c r="A53" s="29"/>
      <c r="B53" s="29"/>
      <c r="C53" s="15"/>
      <c r="D53" s="29"/>
      <c r="E53" s="206"/>
      <c r="F53" s="206"/>
      <c r="G53" s="34"/>
      <c r="H53" s="116"/>
      <c r="I53" s="19"/>
      <c r="J53" s="19"/>
      <c r="K53" s="19"/>
      <c r="L53" s="19"/>
      <c r="M53" s="19"/>
      <c r="N53"/>
      <c r="O53"/>
    </row>
    <row r="54" spans="1:15" s="3" customFormat="1" x14ac:dyDescent="0.25">
      <c r="A54" s="29"/>
      <c r="B54" s="29"/>
      <c r="C54" s="15"/>
      <c r="D54" s="29"/>
      <c r="E54" s="206"/>
      <c r="F54" s="206"/>
      <c r="G54" s="34"/>
      <c r="H54" s="116"/>
      <c r="I54" s="19"/>
      <c r="J54" s="19"/>
      <c r="K54" s="19"/>
      <c r="L54" s="19"/>
      <c r="M54" s="19"/>
      <c r="N54"/>
      <c r="O54"/>
    </row>
    <row r="55" spans="1:15" s="3" customFormat="1" x14ac:dyDescent="0.25">
      <c r="A55" s="29"/>
      <c r="B55" s="29"/>
      <c r="C55" s="15"/>
      <c r="D55" s="29"/>
      <c r="E55" s="206"/>
      <c r="F55" s="206"/>
      <c r="G55" s="34"/>
      <c r="H55" s="116"/>
      <c r="I55" s="19"/>
      <c r="J55" s="19"/>
      <c r="K55" s="19"/>
      <c r="L55" s="19"/>
      <c r="M55" s="19"/>
      <c r="N55"/>
      <c r="O55"/>
    </row>
    <row r="56" spans="1:15" s="3" customFormat="1" x14ac:dyDescent="0.25">
      <c r="A56" s="29"/>
      <c r="B56" s="29"/>
      <c r="C56" s="15"/>
      <c r="D56" s="29"/>
      <c r="E56" s="206"/>
      <c r="F56" s="206"/>
      <c r="G56" s="34"/>
      <c r="H56" s="116"/>
      <c r="I56" s="19"/>
      <c r="J56" s="19"/>
      <c r="K56" s="19"/>
      <c r="L56" s="19"/>
      <c r="M56" s="19"/>
      <c r="N56"/>
      <c r="O56"/>
    </row>
    <row r="57" spans="1:15" s="3" customFormat="1" x14ac:dyDescent="0.25">
      <c r="A57" s="29"/>
      <c r="B57" s="29"/>
      <c r="C57" s="15"/>
      <c r="D57" s="29"/>
      <c r="E57" s="206"/>
      <c r="F57" s="206"/>
      <c r="G57" s="34"/>
      <c r="H57" s="116"/>
      <c r="I57" s="19"/>
      <c r="J57" s="19"/>
      <c r="K57" s="19"/>
      <c r="L57" s="19"/>
      <c r="M57" s="19"/>
      <c r="N57"/>
      <c r="O57"/>
    </row>
    <row r="58" spans="1:15" s="3" customFormat="1" x14ac:dyDescent="0.25">
      <c r="A58" s="29"/>
      <c r="B58" s="29"/>
      <c r="C58" s="15"/>
      <c r="D58" s="29"/>
      <c r="E58" s="206"/>
      <c r="F58" s="206"/>
      <c r="G58" s="34"/>
      <c r="H58" s="116"/>
      <c r="I58" s="19"/>
      <c r="J58" s="19"/>
      <c r="K58" s="19"/>
      <c r="L58" s="19"/>
      <c r="M58" s="19"/>
      <c r="N58"/>
      <c r="O58"/>
    </row>
    <row r="59" spans="1:15" s="3" customFormat="1" x14ac:dyDescent="0.25">
      <c r="A59" s="29"/>
      <c r="B59" s="29"/>
      <c r="C59" s="15"/>
      <c r="D59" s="29"/>
      <c r="E59" s="206"/>
      <c r="F59" s="206"/>
      <c r="G59" s="34"/>
      <c r="H59" s="116"/>
      <c r="I59" s="19"/>
      <c r="J59" s="19"/>
      <c r="K59" s="19"/>
      <c r="L59" s="19"/>
      <c r="M59" s="19"/>
      <c r="N59"/>
      <c r="O59"/>
    </row>
    <row r="60" spans="1:15" s="3" customFormat="1" x14ac:dyDescent="0.25">
      <c r="A60" s="29"/>
      <c r="B60" s="29"/>
      <c r="C60" s="15"/>
      <c r="D60" s="29"/>
      <c r="E60" s="206"/>
      <c r="F60" s="206"/>
      <c r="G60" s="34"/>
      <c r="H60" s="116"/>
      <c r="I60" s="19"/>
      <c r="J60" s="19"/>
      <c r="K60" s="19"/>
      <c r="L60" s="19"/>
      <c r="M60" s="19"/>
      <c r="N60"/>
      <c r="O60"/>
    </row>
    <row r="61" spans="1:15" s="3" customFormat="1" x14ac:dyDescent="0.25">
      <c r="A61" s="29"/>
      <c r="B61" s="29"/>
      <c r="C61" s="15"/>
      <c r="D61" s="29"/>
      <c r="E61" s="206"/>
      <c r="F61" s="206"/>
      <c r="G61" s="34"/>
      <c r="H61" s="116"/>
      <c r="I61" s="19"/>
      <c r="J61" s="19"/>
      <c r="K61" s="19"/>
      <c r="L61" s="19"/>
      <c r="M61" s="19"/>
      <c r="N61"/>
      <c r="O61"/>
    </row>
    <row r="62" spans="1:15" s="3" customFormat="1" x14ac:dyDescent="0.25">
      <c r="A62" s="29"/>
      <c r="B62" s="29"/>
      <c r="C62" s="15"/>
      <c r="D62" s="29"/>
      <c r="E62" s="206"/>
      <c r="F62" s="206"/>
      <c r="G62" s="34"/>
      <c r="H62" s="116"/>
      <c r="I62" s="19"/>
      <c r="J62" s="19"/>
      <c r="K62" s="19"/>
      <c r="L62" s="19"/>
      <c r="M62" s="19"/>
      <c r="N62"/>
      <c r="O62"/>
    </row>
    <row r="63" spans="1:15" s="4" customFormat="1" ht="20.25" x14ac:dyDescent="0.3">
      <c r="A63" s="29"/>
      <c r="B63" s="29"/>
      <c r="C63" s="15"/>
      <c r="D63" s="29"/>
      <c r="E63" s="206"/>
      <c r="F63" s="206"/>
      <c r="G63" s="34"/>
      <c r="H63" s="116"/>
      <c r="I63" s="19"/>
      <c r="J63" s="19"/>
      <c r="K63" s="19"/>
      <c r="L63" s="19"/>
      <c r="M63" s="19"/>
      <c r="N63"/>
      <c r="O63"/>
    </row>
  </sheetData>
  <mergeCells count="7">
    <mergeCell ref="A1:O1"/>
    <mergeCell ref="A44:F44"/>
    <mergeCell ref="A4:A5"/>
    <mergeCell ref="B4:B5"/>
    <mergeCell ref="C4:C5"/>
    <mergeCell ref="I4:J4"/>
    <mergeCell ref="K4:L4"/>
  </mergeCells>
  <hyperlinks>
    <hyperlink ref="C19" location="'2801'!A1" display="104188165321(ONEYTEMB00812801)"/>
  </hyperlinks>
  <pageMargins left="0.7" right="0.7" top="0.75" bottom="0.75" header="0.3" footer="0.3"/>
  <pageSetup scale="57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P83"/>
  <sheetViews>
    <sheetView showGridLines="0" topLeftCell="A4" zoomScaleNormal="100" workbookViewId="0">
      <pane xSplit="3" ySplit="2" topLeftCell="D48" activePane="bottomRight" state="frozen"/>
      <selection activeCell="J19" sqref="J19"/>
      <selection pane="topRight" activeCell="J19" sqref="J19"/>
      <selection pane="bottomLeft" activeCell="J19" sqref="J19"/>
      <selection pane="bottomRight" activeCell="J17" sqref="J17"/>
    </sheetView>
  </sheetViews>
  <sheetFormatPr defaultRowHeight="15" x14ac:dyDescent="0.25"/>
  <cols>
    <col min="1" max="1" width="6.140625" style="29" customWidth="1"/>
    <col min="2" max="2" width="11.5703125" style="29" customWidth="1"/>
    <col min="3" max="3" width="39.28515625" style="15" customWidth="1"/>
    <col min="4" max="4" width="5.85546875" style="15" customWidth="1"/>
    <col min="5" max="5" width="17" customWidth="1"/>
    <col min="6" max="6" width="6.140625" style="206" customWidth="1"/>
    <col min="7" max="7" width="15.85546875" style="34" customWidth="1"/>
    <col min="8" max="8" width="17.28515625" style="19" customWidth="1"/>
    <col min="9" max="10" width="10.140625" style="19" customWidth="1"/>
    <col min="11" max="11" width="10" style="19" customWidth="1"/>
    <col min="12" max="12" width="15.28515625" style="19" customWidth="1"/>
    <col min="13" max="13" width="16" style="19" customWidth="1"/>
    <col min="14" max="14" width="0.42578125" style="19" hidden="1" customWidth="1"/>
    <col min="15" max="15" width="16.85546875" style="526" customWidth="1"/>
    <col min="16" max="16" width="15.42578125" customWidth="1"/>
  </cols>
  <sheetData>
    <row r="1" spans="1:16" ht="34.5" x14ac:dyDescent="0.45">
      <c r="A1" s="805" t="s">
        <v>63</v>
      </c>
      <c r="B1" s="805"/>
      <c r="C1" s="805"/>
      <c r="D1" s="805"/>
      <c r="E1" s="805"/>
      <c r="F1" s="805"/>
      <c r="G1" s="805"/>
      <c r="H1" s="805"/>
      <c r="I1" s="805"/>
      <c r="J1" s="805"/>
      <c r="K1" s="805"/>
      <c r="L1" s="805"/>
      <c r="M1" s="805"/>
      <c r="N1" s="805"/>
      <c r="O1" s="805"/>
      <c r="P1" s="805"/>
    </row>
    <row r="2" spans="1:16" ht="17.25" x14ac:dyDescent="0.3">
      <c r="M2" s="75" t="s">
        <v>62</v>
      </c>
      <c r="N2" s="75"/>
      <c r="O2" s="520">
        <f ca="1">TODAY()</f>
        <v>44848</v>
      </c>
    </row>
    <row r="3" spans="1:16" s="52" customFormat="1" ht="15.75" x14ac:dyDescent="0.25">
      <c r="A3" s="45"/>
      <c r="B3" s="45"/>
      <c r="C3" s="46"/>
      <c r="D3" s="46"/>
      <c r="E3" s="44" t="s">
        <v>43</v>
      </c>
      <c r="F3" s="294"/>
      <c r="G3" s="324"/>
      <c r="H3" s="77" t="s">
        <v>41</v>
      </c>
      <c r="I3" s="49" t="s">
        <v>42</v>
      </c>
      <c r="J3" s="50"/>
      <c r="K3" s="49"/>
      <c r="L3" s="51"/>
      <c r="O3" s="521"/>
    </row>
    <row r="4" spans="1:16" s="1" customFormat="1" ht="47.25" customHeight="1" x14ac:dyDescent="0.3">
      <c r="A4" s="746" t="s">
        <v>0</v>
      </c>
      <c r="B4" s="806" t="s">
        <v>37</v>
      </c>
      <c r="C4" s="750" t="s">
        <v>39</v>
      </c>
      <c r="D4" s="301" t="s">
        <v>64</v>
      </c>
      <c r="E4" s="36" t="s">
        <v>3</v>
      </c>
      <c r="F4" s="292" t="s">
        <v>4</v>
      </c>
      <c r="G4" s="308" t="s">
        <v>743</v>
      </c>
      <c r="H4" s="134" t="s">
        <v>6</v>
      </c>
      <c r="I4" s="752" t="s">
        <v>7</v>
      </c>
      <c r="J4" s="753"/>
      <c r="K4" s="752" t="s">
        <v>8</v>
      </c>
      <c r="L4" s="753"/>
      <c r="M4" s="752" t="s">
        <v>60</v>
      </c>
      <c r="N4" s="753"/>
      <c r="O4" s="208" t="s">
        <v>1</v>
      </c>
      <c r="P4" s="62" t="s">
        <v>9</v>
      </c>
    </row>
    <row r="5" spans="1:16" s="1" customFormat="1" ht="26.25" customHeight="1" x14ac:dyDescent="0.3">
      <c r="A5" s="747"/>
      <c r="B5" s="807"/>
      <c r="C5" s="751"/>
      <c r="D5" s="81"/>
      <c r="E5" s="37"/>
      <c r="F5" s="293"/>
      <c r="G5" s="325" t="s">
        <v>13</v>
      </c>
      <c r="H5" s="21" t="s">
        <v>13</v>
      </c>
      <c r="I5" s="21" t="s">
        <v>51</v>
      </c>
      <c r="J5" s="21" t="s">
        <v>53</v>
      </c>
      <c r="K5" s="21" t="s">
        <v>51</v>
      </c>
      <c r="L5" s="21" t="s">
        <v>52</v>
      </c>
      <c r="M5" s="21" t="s">
        <v>13</v>
      </c>
      <c r="N5" s="21" t="s">
        <v>14</v>
      </c>
      <c r="O5" s="522"/>
      <c r="P5" s="64" t="s">
        <v>13</v>
      </c>
    </row>
    <row r="6" spans="1:16" s="12" customFormat="1" ht="15.75" x14ac:dyDescent="0.25">
      <c r="A6" s="28" t="s">
        <v>32</v>
      </c>
      <c r="B6" s="31" t="s">
        <v>251</v>
      </c>
      <c r="C6" s="20" t="s">
        <v>252</v>
      </c>
      <c r="D6" s="652" t="s">
        <v>74</v>
      </c>
      <c r="E6" s="649" t="s">
        <v>54</v>
      </c>
      <c r="F6" s="649" t="s">
        <v>10</v>
      </c>
      <c r="G6" s="326"/>
      <c r="H6" s="32">
        <f>133110+129560+157850+104820</f>
        <v>525340</v>
      </c>
      <c r="I6" s="24"/>
      <c r="J6" s="14"/>
      <c r="K6" s="14"/>
      <c r="L6" s="14"/>
      <c r="M6" s="14">
        <f t="shared" ref="M6:M49" si="0">+H6+J6-L6</f>
        <v>525340</v>
      </c>
      <c r="N6" s="14"/>
      <c r="O6" s="523" t="s">
        <v>12</v>
      </c>
      <c r="P6" s="74">
        <f t="shared" ref="P6:P42" si="1">H6+(I6+J6)-(K6+L6)</f>
        <v>525340</v>
      </c>
    </row>
    <row r="7" spans="1:16" s="12" customFormat="1" ht="15.75" x14ac:dyDescent="0.25">
      <c r="A7" s="28" t="s">
        <v>33</v>
      </c>
      <c r="B7" s="31" t="s">
        <v>272</v>
      </c>
      <c r="C7" s="20" t="s">
        <v>274</v>
      </c>
      <c r="D7" s="652" t="s">
        <v>183</v>
      </c>
      <c r="E7" s="649" t="s">
        <v>54</v>
      </c>
      <c r="F7" s="649" t="s">
        <v>10</v>
      </c>
      <c r="G7" s="326"/>
      <c r="H7" s="32">
        <f>164150+55570</f>
        <v>219720</v>
      </c>
      <c r="I7" s="24"/>
      <c r="J7" s="14"/>
      <c r="K7" s="14"/>
      <c r="L7" s="14"/>
      <c r="M7" s="14">
        <f t="shared" si="0"/>
        <v>219720</v>
      </c>
      <c r="N7" s="14"/>
      <c r="O7" s="523" t="s">
        <v>268</v>
      </c>
      <c r="P7" s="74">
        <f t="shared" si="1"/>
        <v>219720</v>
      </c>
    </row>
    <row r="8" spans="1:16" s="12" customFormat="1" ht="15.75" x14ac:dyDescent="0.25">
      <c r="A8" s="28" t="s">
        <v>34</v>
      </c>
      <c r="B8" s="31" t="s">
        <v>278</v>
      </c>
      <c r="C8" s="20" t="s">
        <v>279</v>
      </c>
      <c r="D8" s="652" t="s">
        <v>74</v>
      </c>
      <c r="E8" s="649" t="s">
        <v>54</v>
      </c>
      <c r="F8" s="649" t="s">
        <v>10</v>
      </c>
      <c r="G8" s="326"/>
      <c r="H8" s="32">
        <v>26120</v>
      </c>
      <c r="I8" s="24"/>
      <c r="J8" s="14"/>
      <c r="K8" s="14"/>
      <c r="L8" s="14"/>
      <c r="M8" s="14">
        <f t="shared" si="0"/>
        <v>26120</v>
      </c>
      <c r="N8" s="14"/>
      <c r="O8" s="523" t="s">
        <v>57</v>
      </c>
      <c r="P8" s="74">
        <f t="shared" si="1"/>
        <v>26120</v>
      </c>
    </row>
    <row r="9" spans="1:16" s="12" customFormat="1" ht="15.75" x14ac:dyDescent="0.25">
      <c r="A9" s="28" t="s">
        <v>35</v>
      </c>
      <c r="B9" s="31" t="s">
        <v>739</v>
      </c>
      <c r="C9" s="20" t="s">
        <v>289</v>
      </c>
      <c r="D9" s="652" t="s">
        <v>74</v>
      </c>
      <c r="E9" s="649" t="s">
        <v>54</v>
      </c>
      <c r="F9" s="649" t="s">
        <v>10</v>
      </c>
      <c r="G9" s="326"/>
      <c r="H9" s="32">
        <f>53870+69070</f>
        <v>122940</v>
      </c>
      <c r="I9" s="24"/>
      <c r="J9" s="14"/>
      <c r="K9" s="14"/>
      <c r="L9" s="14"/>
      <c r="M9" s="14">
        <f t="shared" si="0"/>
        <v>122940</v>
      </c>
      <c r="N9" s="14"/>
      <c r="O9" s="523" t="s">
        <v>290</v>
      </c>
      <c r="P9" s="74">
        <f t="shared" si="1"/>
        <v>122940</v>
      </c>
    </row>
    <row r="10" spans="1:16" s="12" customFormat="1" ht="15.75" x14ac:dyDescent="0.25">
      <c r="A10" s="28" t="s">
        <v>36</v>
      </c>
      <c r="B10" s="31" t="s">
        <v>739</v>
      </c>
      <c r="C10" s="20" t="s">
        <v>291</v>
      </c>
      <c r="D10" s="652" t="s">
        <v>462</v>
      </c>
      <c r="E10" s="649" t="s">
        <v>54</v>
      </c>
      <c r="F10" s="649" t="s">
        <v>10</v>
      </c>
      <c r="G10" s="326"/>
      <c r="H10" s="32">
        <f>33280+132580+32780</f>
        <v>198640</v>
      </c>
      <c r="I10" s="24"/>
      <c r="J10" s="14"/>
      <c r="K10" s="14"/>
      <c r="L10" s="14"/>
      <c r="M10" s="14">
        <f t="shared" si="0"/>
        <v>198640</v>
      </c>
      <c r="N10" s="14"/>
      <c r="O10" s="523" t="s">
        <v>44</v>
      </c>
      <c r="P10" s="74">
        <f t="shared" si="1"/>
        <v>198640</v>
      </c>
    </row>
    <row r="11" spans="1:16" s="12" customFormat="1" ht="15.75" x14ac:dyDescent="0.25">
      <c r="A11" s="28" t="s">
        <v>17</v>
      </c>
      <c r="B11" s="31" t="s">
        <v>1021</v>
      </c>
      <c r="C11" s="20" t="s">
        <v>463</v>
      </c>
      <c r="D11" s="652" t="s">
        <v>74</v>
      </c>
      <c r="E11" s="649" t="s">
        <v>54</v>
      </c>
      <c r="F11" s="649" t="s">
        <v>10</v>
      </c>
      <c r="G11" s="326"/>
      <c r="H11" s="32">
        <v>23580</v>
      </c>
      <c r="I11" s="24"/>
      <c r="J11" s="14"/>
      <c r="K11" s="14"/>
      <c r="L11" s="14"/>
      <c r="M11" s="14">
        <f t="shared" si="0"/>
        <v>23580</v>
      </c>
      <c r="N11" s="14"/>
      <c r="O11" s="523" t="s">
        <v>57</v>
      </c>
      <c r="P11" s="74">
        <f t="shared" si="1"/>
        <v>23580</v>
      </c>
    </row>
    <row r="12" spans="1:16" s="12" customFormat="1" ht="15.75" x14ac:dyDescent="0.25">
      <c r="A12" s="28" t="s">
        <v>19</v>
      </c>
      <c r="B12" s="31" t="s">
        <v>301</v>
      </c>
      <c r="C12" s="20" t="s">
        <v>302</v>
      </c>
      <c r="D12" s="652" t="s">
        <v>74</v>
      </c>
      <c r="E12" s="649" t="s">
        <v>54</v>
      </c>
      <c r="F12" s="649" t="s">
        <v>10</v>
      </c>
      <c r="G12" s="326"/>
      <c r="H12" s="32">
        <f>131800+53020</f>
        <v>184820</v>
      </c>
      <c r="I12" s="24"/>
      <c r="J12" s="14"/>
      <c r="K12" s="14"/>
      <c r="L12" s="14"/>
      <c r="M12" s="14">
        <f t="shared" si="0"/>
        <v>184820</v>
      </c>
      <c r="N12" s="14"/>
      <c r="O12" s="523"/>
      <c r="P12" s="74">
        <f t="shared" si="1"/>
        <v>184820</v>
      </c>
    </row>
    <row r="13" spans="1:16" s="12" customFormat="1" ht="15.75" x14ac:dyDescent="0.25">
      <c r="A13" s="28" t="s">
        <v>20</v>
      </c>
      <c r="B13" s="31" t="s">
        <v>304</v>
      </c>
      <c r="C13" s="20" t="s">
        <v>306</v>
      </c>
      <c r="D13" s="652" t="s">
        <v>307</v>
      </c>
      <c r="E13" s="649" t="s">
        <v>54</v>
      </c>
      <c r="F13" s="649" t="s">
        <v>10</v>
      </c>
      <c r="G13" s="326"/>
      <c r="H13" s="32">
        <f>98120+49790+102650+26070</f>
        <v>276630</v>
      </c>
      <c r="I13" s="24"/>
      <c r="J13" s="14"/>
      <c r="K13" s="14"/>
      <c r="L13" s="14"/>
      <c r="M13" s="14">
        <f t="shared" si="0"/>
        <v>276630</v>
      </c>
      <c r="N13" s="14"/>
      <c r="O13" s="523" t="s">
        <v>16</v>
      </c>
      <c r="P13" s="74">
        <f t="shared" si="1"/>
        <v>276630</v>
      </c>
    </row>
    <row r="14" spans="1:16" s="12" customFormat="1" ht="15.75" x14ac:dyDescent="0.25">
      <c r="A14" s="28" t="s">
        <v>387</v>
      </c>
      <c r="B14" s="31" t="s">
        <v>319</v>
      </c>
      <c r="C14" s="20" t="s">
        <v>320</v>
      </c>
      <c r="D14" s="652" t="s">
        <v>74</v>
      </c>
      <c r="E14" s="649" t="s">
        <v>54</v>
      </c>
      <c r="F14" s="649" t="s">
        <v>10</v>
      </c>
      <c r="G14" s="326"/>
      <c r="H14" s="32">
        <f>80280+80020</f>
        <v>160300</v>
      </c>
      <c r="I14" s="24"/>
      <c r="J14" s="14"/>
      <c r="K14" s="14"/>
      <c r="L14" s="14"/>
      <c r="M14" s="14">
        <f t="shared" si="0"/>
        <v>160300</v>
      </c>
      <c r="N14" s="14"/>
      <c r="O14" s="523" t="s">
        <v>58</v>
      </c>
      <c r="P14" s="74">
        <f t="shared" si="1"/>
        <v>160300</v>
      </c>
    </row>
    <row r="15" spans="1:16" s="12" customFormat="1" ht="15.75" x14ac:dyDescent="0.25">
      <c r="A15" s="28" t="s">
        <v>21</v>
      </c>
      <c r="B15" s="31" t="s">
        <v>319</v>
      </c>
      <c r="C15" s="20" t="s">
        <v>321</v>
      </c>
      <c r="D15" s="652" t="s">
        <v>183</v>
      </c>
      <c r="E15" s="649" t="s">
        <v>54</v>
      </c>
      <c r="F15" s="649" t="s">
        <v>10</v>
      </c>
      <c r="G15" s="326"/>
      <c r="H15" s="32">
        <f>28070+109530+105850+27730</f>
        <v>271180</v>
      </c>
      <c r="I15" s="24"/>
      <c r="J15" s="14"/>
      <c r="K15" s="14"/>
      <c r="L15" s="14"/>
      <c r="M15" s="14">
        <f t="shared" si="0"/>
        <v>271180</v>
      </c>
      <c r="N15" s="14"/>
      <c r="O15" s="523" t="s">
        <v>40</v>
      </c>
      <c r="P15" s="74">
        <f t="shared" si="1"/>
        <v>271180</v>
      </c>
    </row>
    <row r="16" spans="1:16" s="12" customFormat="1" ht="15.75" x14ac:dyDescent="0.25">
      <c r="A16" s="28" t="s">
        <v>422</v>
      </c>
      <c r="B16" s="31" t="s">
        <v>491</v>
      </c>
      <c r="C16" s="73" t="s">
        <v>493</v>
      </c>
      <c r="D16" s="652" t="s">
        <v>183</v>
      </c>
      <c r="E16" s="649" t="s">
        <v>54</v>
      </c>
      <c r="F16" s="649" t="s">
        <v>10</v>
      </c>
      <c r="G16" s="326"/>
      <c r="H16" s="32">
        <f>25590+77850</f>
        <v>103440</v>
      </c>
      <c r="I16" s="24"/>
      <c r="J16" s="14"/>
      <c r="K16" s="14"/>
      <c r="L16" s="53">
        <f>'6853'!H18</f>
        <v>86710</v>
      </c>
      <c r="M16" s="14">
        <f t="shared" si="0"/>
        <v>16730</v>
      </c>
      <c r="N16" s="14"/>
      <c r="O16" s="523" t="s">
        <v>329</v>
      </c>
      <c r="P16" s="74">
        <f t="shared" si="1"/>
        <v>16730</v>
      </c>
    </row>
    <row r="17" spans="1:16" s="12" customFormat="1" ht="15.75" x14ac:dyDescent="0.25">
      <c r="A17" s="28" t="s">
        <v>423</v>
      </c>
      <c r="B17" s="31" t="s">
        <v>504</v>
      </c>
      <c r="C17" s="20" t="s">
        <v>506</v>
      </c>
      <c r="D17" s="652" t="s">
        <v>183</v>
      </c>
      <c r="E17" s="649" t="s">
        <v>54</v>
      </c>
      <c r="F17" s="649" t="s">
        <v>10</v>
      </c>
      <c r="G17" s="326"/>
      <c r="H17" s="32">
        <f>49970+98920+73870</f>
        <v>222760</v>
      </c>
      <c r="I17" s="24"/>
      <c r="J17" s="14"/>
      <c r="K17" s="14"/>
      <c r="L17" s="14"/>
      <c r="M17" s="14">
        <f t="shared" si="0"/>
        <v>222760</v>
      </c>
      <c r="N17" s="14"/>
      <c r="O17" s="523" t="s">
        <v>332</v>
      </c>
      <c r="P17" s="74">
        <f t="shared" si="1"/>
        <v>222760</v>
      </c>
    </row>
    <row r="18" spans="1:16" s="12" customFormat="1" ht="15.75" x14ac:dyDescent="0.25">
      <c r="A18" s="28" t="s">
        <v>424</v>
      </c>
      <c r="B18" s="31" t="s">
        <v>507</v>
      </c>
      <c r="C18" s="20" t="s">
        <v>515</v>
      </c>
      <c r="D18" s="652" t="s">
        <v>67</v>
      </c>
      <c r="E18" s="649" t="s">
        <v>54</v>
      </c>
      <c r="F18" s="649" t="s">
        <v>10</v>
      </c>
      <c r="G18" s="326"/>
      <c r="H18" s="32">
        <f>108500+108140+80150+132730+80280+27600</f>
        <v>537400</v>
      </c>
      <c r="I18" s="24"/>
      <c r="J18" s="14"/>
      <c r="K18" s="14"/>
      <c r="L18" s="14"/>
      <c r="M18" s="14">
        <f t="shared" si="0"/>
        <v>537400</v>
      </c>
      <c r="N18" s="14"/>
      <c r="O18" s="523" t="s">
        <v>16</v>
      </c>
      <c r="P18" s="74">
        <f t="shared" si="1"/>
        <v>537400</v>
      </c>
    </row>
    <row r="19" spans="1:16" s="12" customFormat="1" ht="15.75" x14ac:dyDescent="0.25">
      <c r="A19" s="28" t="s">
        <v>22</v>
      </c>
      <c r="B19" s="31" t="s">
        <v>532</v>
      </c>
      <c r="C19" s="20" t="s">
        <v>535</v>
      </c>
      <c r="D19" s="652" t="s">
        <v>183</v>
      </c>
      <c r="E19" s="649" t="s">
        <v>54</v>
      </c>
      <c r="F19" s="649" t="s">
        <v>10</v>
      </c>
      <c r="G19" s="326"/>
      <c r="H19" s="32">
        <v>25380</v>
      </c>
      <c r="I19" s="24"/>
      <c r="J19" s="14"/>
      <c r="K19" s="14"/>
      <c r="L19" s="14"/>
      <c r="M19" s="14">
        <f t="shared" si="0"/>
        <v>25380</v>
      </c>
      <c r="N19" s="14"/>
      <c r="O19" s="523" t="s">
        <v>57</v>
      </c>
      <c r="P19" s="74">
        <f t="shared" si="1"/>
        <v>25380</v>
      </c>
    </row>
    <row r="20" spans="1:16" s="12" customFormat="1" ht="15.75" x14ac:dyDescent="0.25">
      <c r="A20" s="28" t="s">
        <v>425</v>
      </c>
      <c r="B20" s="31" t="s">
        <v>543</v>
      </c>
      <c r="C20" s="20" t="s">
        <v>544</v>
      </c>
      <c r="D20" s="652" t="s">
        <v>67</v>
      </c>
      <c r="E20" s="649" t="s">
        <v>54</v>
      </c>
      <c r="F20" s="649" t="s">
        <v>10</v>
      </c>
      <c r="G20" s="326"/>
      <c r="H20" s="32">
        <v>26690</v>
      </c>
      <c r="I20" s="24"/>
      <c r="J20" s="14"/>
      <c r="K20" s="14"/>
      <c r="L20" s="14"/>
      <c r="M20" s="14">
        <f t="shared" si="0"/>
        <v>26690</v>
      </c>
      <c r="N20" s="14"/>
      <c r="O20" s="523" t="s">
        <v>57</v>
      </c>
      <c r="P20" s="74">
        <f t="shared" si="1"/>
        <v>26690</v>
      </c>
    </row>
    <row r="21" spans="1:16" s="12" customFormat="1" ht="15.75" x14ac:dyDescent="0.25">
      <c r="A21" s="28" t="s">
        <v>426</v>
      </c>
      <c r="B21" s="31" t="s">
        <v>1015</v>
      </c>
      <c r="C21" s="20" t="s">
        <v>577</v>
      </c>
      <c r="D21" s="652" t="s">
        <v>67</v>
      </c>
      <c r="E21" s="649" t="s">
        <v>54</v>
      </c>
      <c r="F21" s="649" t="s">
        <v>10</v>
      </c>
      <c r="G21" s="326"/>
      <c r="H21" s="32">
        <v>34650</v>
      </c>
      <c r="I21" s="24"/>
      <c r="J21" s="14"/>
      <c r="K21" s="14"/>
      <c r="L21" s="14"/>
      <c r="M21" s="14">
        <f t="shared" si="0"/>
        <v>34650</v>
      </c>
      <c r="N21" s="11"/>
      <c r="O21" s="523" t="s">
        <v>344</v>
      </c>
      <c r="P21" s="74">
        <f t="shared" si="1"/>
        <v>34650</v>
      </c>
    </row>
    <row r="22" spans="1:16" s="12" customFormat="1" ht="15.75" x14ac:dyDescent="0.25">
      <c r="A22" s="28" t="s">
        <v>427</v>
      </c>
      <c r="B22" s="31" t="s">
        <v>1015</v>
      </c>
      <c r="C22" s="20" t="s">
        <v>578</v>
      </c>
      <c r="D22" s="652" t="s">
        <v>67</v>
      </c>
      <c r="E22" s="649" t="s">
        <v>54</v>
      </c>
      <c r="F22" s="649" t="s">
        <v>10</v>
      </c>
      <c r="G22" s="326"/>
      <c r="H22" s="32">
        <v>16710</v>
      </c>
      <c r="I22" s="24"/>
      <c r="J22" s="14"/>
      <c r="K22" s="14"/>
      <c r="L22" s="14"/>
      <c r="M22" s="14">
        <f t="shared" si="0"/>
        <v>16710</v>
      </c>
      <c r="N22" s="14"/>
      <c r="O22" s="523" t="s">
        <v>57</v>
      </c>
      <c r="P22" s="74">
        <f t="shared" si="1"/>
        <v>16710</v>
      </c>
    </row>
    <row r="23" spans="1:16" s="12" customFormat="1" ht="15.75" x14ac:dyDescent="0.25">
      <c r="A23" s="28" t="s">
        <v>23</v>
      </c>
      <c r="B23" s="31" t="s">
        <v>798</v>
      </c>
      <c r="C23" s="20" t="s">
        <v>799</v>
      </c>
      <c r="D23" s="652" t="s">
        <v>74</v>
      </c>
      <c r="E23" s="649" t="s">
        <v>54</v>
      </c>
      <c r="F23" s="649" t="s">
        <v>10</v>
      </c>
      <c r="G23" s="326">
        <v>657290</v>
      </c>
      <c r="H23" s="32">
        <f>186810+179440+285220+6910</f>
        <v>658380</v>
      </c>
      <c r="I23" s="24"/>
      <c r="J23" s="14"/>
      <c r="K23" s="14"/>
      <c r="L23" s="14"/>
      <c r="M23" s="14">
        <f t="shared" si="0"/>
        <v>658380</v>
      </c>
      <c r="N23" s="14"/>
      <c r="O23" s="523" t="s">
        <v>797</v>
      </c>
      <c r="P23" s="74">
        <f t="shared" si="1"/>
        <v>658380</v>
      </c>
    </row>
    <row r="24" spans="1:16" s="12" customFormat="1" ht="15.75" x14ac:dyDescent="0.25">
      <c r="A24" s="28" t="s">
        <v>428</v>
      </c>
      <c r="B24" s="31" t="s">
        <v>806</v>
      </c>
      <c r="C24" s="20" t="s">
        <v>807</v>
      </c>
      <c r="D24" s="652" t="s">
        <v>74</v>
      </c>
      <c r="E24" s="649" t="s">
        <v>54</v>
      </c>
      <c r="F24" s="649" t="s">
        <v>10</v>
      </c>
      <c r="G24" s="326">
        <v>516390</v>
      </c>
      <c r="H24" s="32">
        <f>232620+282950</f>
        <v>515570</v>
      </c>
      <c r="I24" s="24"/>
      <c r="J24" s="14"/>
      <c r="K24" s="14"/>
      <c r="L24" s="14"/>
      <c r="M24" s="14">
        <f t="shared" si="0"/>
        <v>515570</v>
      </c>
      <c r="N24" s="14"/>
      <c r="O24" s="523" t="s">
        <v>797</v>
      </c>
      <c r="P24" s="74">
        <f t="shared" si="1"/>
        <v>515570</v>
      </c>
    </row>
    <row r="25" spans="1:16" s="12" customFormat="1" ht="15.75" x14ac:dyDescent="0.25">
      <c r="A25" s="28" t="s">
        <v>24</v>
      </c>
      <c r="B25" s="31" t="s">
        <v>814</v>
      </c>
      <c r="C25" s="20" t="s">
        <v>815</v>
      </c>
      <c r="D25" s="652" t="s">
        <v>134</v>
      </c>
      <c r="E25" s="649" t="s">
        <v>54</v>
      </c>
      <c r="F25" s="649" t="s">
        <v>10</v>
      </c>
      <c r="G25" s="326">
        <v>352050</v>
      </c>
      <c r="H25" s="32">
        <f>19480+259290+73340</f>
        <v>352110</v>
      </c>
      <c r="I25" s="24"/>
      <c r="J25" s="14"/>
      <c r="K25" s="14"/>
      <c r="L25" s="14"/>
      <c r="M25" s="14">
        <f t="shared" si="0"/>
        <v>352110</v>
      </c>
      <c r="N25" s="14"/>
      <c r="O25" s="523" t="s">
        <v>797</v>
      </c>
      <c r="P25" s="74">
        <f t="shared" si="1"/>
        <v>352110</v>
      </c>
    </row>
    <row r="26" spans="1:16" s="12" customFormat="1" ht="15.75" x14ac:dyDescent="0.25">
      <c r="A26" s="28" t="s">
        <v>25</v>
      </c>
      <c r="B26" s="31" t="s">
        <v>836</v>
      </c>
      <c r="C26" s="87" t="s">
        <v>837</v>
      </c>
      <c r="D26" s="652" t="s">
        <v>74</v>
      </c>
      <c r="E26" s="649" t="s">
        <v>54</v>
      </c>
      <c r="F26" s="649" t="s">
        <v>10</v>
      </c>
      <c r="G26" s="326">
        <v>85920</v>
      </c>
      <c r="H26" s="32">
        <v>82580</v>
      </c>
      <c r="I26" s="24"/>
      <c r="J26" s="14"/>
      <c r="K26" s="14"/>
      <c r="L26" s="53">
        <f>'0470'!H13</f>
        <v>82090</v>
      </c>
      <c r="M26" s="14">
        <f t="shared" si="0"/>
        <v>490</v>
      </c>
      <c r="N26" s="14"/>
      <c r="O26" s="523" t="s">
        <v>204</v>
      </c>
      <c r="P26" s="74">
        <f t="shared" si="1"/>
        <v>490</v>
      </c>
    </row>
    <row r="27" spans="1:16" s="12" customFormat="1" ht="15.75" x14ac:dyDescent="0.25">
      <c r="A27" s="28" t="s">
        <v>26</v>
      </c>
      <c r="B27" s="31" t="s">
        <v>845</v>
      </c>
      <c r="C27" s="87" t="s">
        <v>846</v>
      </c>
      <c r="D27" s="652" t="s">
        <v>74</v>
      </c>
      <c r="E27" s="649" t="s">
        <v>54</v>
      </c>
      <c r="F27" s="649" t="s">
        <v>10</v>
      </c>
      <c r="G27" s="326">
        <v>269860</v>
      </c>
      <c r="H27" s="32">
        <f>190030+55610+25640</f>
        <v>271280</v>
      </c>
      <c r="I27" s="24"/>
      <c r="J27" s="14"/>
      <c r="K27" s="14"/>
      <c r="L27" s="53">
        <f>'9860'!H14</f>
        <v>264430</v>
      </c>
      <c r="M27" s="14">
        <f t="shared" si="0"/>
        <v>6850</v>
      </c>
      <c r="N27" s="14"/>
      <c r="O27" s="523" t="s">
        <v>40</v>
      </c>
      <c r="P27" s="74">
        <f t="shared" si="1"/>
        <v>6850</v>
      </c>
    </row>
    <row r="28" spans="1:16" s="12" customFormat="1" ht="15.75" x14ac:dyDescent="0.25">
      <c r="A28" s="28" t="s">
        <v>27</v>
      </c>
      <c r="B28" s="31" t="s">
        <v>855</v>
      </c>
      <c r="C28" s="20" t="s">
        <v>856</v>
      </c>
      <c r="D28" s="652" t="s">
        <v>74</v>
      </c>
      <c r="E28" s="649" t="s">
        <v>54</v>
      </c>
      <c r="F28" s="649" t="s">
        <v>10</v>
      </c>
      <c r="G28" s="326">
        <v>334244</v>
      </c>
      <c r="H28" s="32">
        <f>163790+165510</f>
        <v>329300</v>
      </c>
      <c r="I28" s="24"/>
      <c r="J28" s="14"/>
      <c r="K28" s="14"/>
      <c r="L28" s="14"/>
      <c r="M28" s="14">
        <f t="shared" si="0"/>
        <v>329300</v>
      </c>
      <c r="N28" s="14"/>
      <c r="O28" s="523" t="s">
        <v>44</v>
      </c>
      <c r="P28" s="74">
        <f t="shared" si="1"/>
        <v>329300</v>
      </c>
    </row>
    <row r="29" spans="1:16" s="12" customFormat="1" ht="15.75" x14ac:dyDescent="0.25">
      <c r="A29" s="28" t="s">
        <v>28</v>
      </c>
      <c r="B29" s="31" t="s">
        <v>875</v>
      </c>
      <c r="C29" s="598" t="s">
        <v>876</v>
      </c>
      <c r="D29" s="652" t="s">
        <v>74</v>
      </c>
      <c r="E29" s="649" t="s">
        <v>54</v>
      </c>
      <c r="F29" s="649" t="s">
        <v>10</v>
      </c>
      <c r="G29" s="326">
        <v>539370</v>
      </c>
      <c r="H29" s="32">
        <f>190660+188760+161990</f>
        <v>541410</v>
      </c>
      <c r="I29" s="24"/>
      <c r="J29" s="14"/>
      <c r="K29" s="14"/>
      <c r="L29" s="14"/>
      <c r="M29" s="14">
        <f t="shared" si="0"/>
        <v>541410</v>
      </c>
      <c r="N29" s="14"/>
      <c r="O29" s="523" t="s">
        <v>12</v>
      </c>
      <c r="P29" s="74">
        <f t="shared" si="1"/>
        <v>541410</v>
      </c>
    </row>
    <row r="30" spans="1:16" s="12" customFormat="1" ht="15.75" x14ac:dyDescent="0.25">
      <c r="A30" s="28" t="s">
        <v>29</v>
      </c>
      <c r="B30" s="31" t="s">
        <v>895</v>
      </c>
      <c r="C30" s="20" t="s">
        <v>896</v>
      </c>
      <c r="D30" s="652" t="s">
        <v>183</v>
      </c>
      <c r="E30" s="649" t="s">
        <v>54</v>
      </c>
      <c r="F30" s="649" t="s">
        <v>10</v>
      </c>
      <c r="G30" s="326">
        <v>114870</v>
      </c>
      <c r="H30" s="32">
        <v>116100</v>
      </c>
      <c r="I30" s="24"/>
      <c r="J30" s="14"/>
      <c r="K30" s="14"/>
      <c r="L30" s="14"/>
      <c r="M30" s="14">
        <f t="shared" si="0"/>
        <v>116100</v>
      </c>
      <c r="N30" s="14"/>
      <c r="O30" s="523" t="s">
        <v>329</v>
      </c>
      <c r="P30" s="74">
        <f t="shared" si="1"/>
        <v>116100</v>
      </c>
    </row>
    <row r="31" spans="1:16" s="12" customFormat="1" ht="15.75" x14ac:dyDescent="0.25">
      <c r="A31" s="28" t="s">
        <v>30</v>
      </c>
      <c r="B31" s="31" t="s">
        <v>931</v>
      </c>
      <c r="C31" s="20" t="s">
        <v>932</v>
      </c>
      <c r="D31" s="652" t="s">
        <v>134</v>
      </c>
      <c r="E31" s="649" t="s">
        <v>54</v>
      </c>
      <c r="F31" s="649" t="s">
        <v>10</v>
      </c>
      <c r="G31" s="326">
        <v>225599</v>
      </c>
      <c r="H31" s="32">
        <f>168560+56080</f>
        <v>224640</v>
      </c>
      <c r="I31" s="24"/>
      <c r="J31" s="14"/>
      <c r="K31" s="14"/>
      <c r="L31" s="14"/>
      <c r="M31" s="14">
        <f t="shared" si="0"/>
        <v>224640</v>
      </c>
      <c r="N31" s="14"/>
      <c r="O31" s="523" t="s">
        <v>315</v>
      </c>
      <c r="P31" s="74">
        <f t="shared" si="1"/>
        <v>224640</v>
      </c>
    </row>
    <row r="32" spans="1:16" s="12" customFormat="1" ht="15.75" x14ac:dyDescent="0.25">
      <c r="A32" s="28" t="s">
        <v>31</v>
      </c>
      <c r="B32" s="31" t="s">
        <v>931</v>
      </c>
      <c r="C32" s="87" t="s">
        <v>936</v>
      </c>
      <c r="D32" s="652" t="s">
        <v>74</v>
      </c>
      <c r="E32" s="649" t="s">
        <v>54</v>
      </c>
      <c r="F32" s="649" t="s">
        <v>10</v>
      </c>
      <c r="G32" s="326">
        <v>506050</v>
      </c>
      <c r="H32" s="32">
        <f>111780+168150+141020+56910+28000</f>
        <v>505860</v>
      </c>
      <c r="I32" s="24"/>
      <c r="J32" s="14"/>
      <c r="K32" s="14"/>
      <c r="L32" s="53">
        <f>'7661'!H19</f>
        <v>462870</v>
      </c>
      <c r="M32" s="14">
        <f t="shared" si="0"/>
        <v>42990</v>
      </c>
      <c r="N32" s="14"/>
      <c r="O32" s="523" t="s">
        <v>214</v>
      </c>
      <c r="P32" s="74">
        <f t="shared" si="1"/>
        <v>42990</v>
      </c>
    </row>
    <row r="33" spans="1:16" s="12" customFormat="1" ht="15.75" x14ac:dyDescent="0.25">
      <c r="A33" s="28" t="s">
        <v>192</v>
      </c>
      <c r="B33" s="31" t="s">
        <v>940</v>
      </c>
      <c r="C33" s="87" t="s">
        <v>941</v>
      </c>
      <c r="D33" s="652" t="s">
        <v>74</v>
      </c>
      <c r="E33" s="649" t="s">
        <v>54</v>
      </c>
      <c r="F33" s="649" t="s">
        <v>10</v>
      </c>
      <c r="G33" s="326">
        <v>505260</v>
      </c>
      <c r="H33" s="32">
        <f>113390+138970+111090+140340</f>
        <v>503790</v>
      </c>
      <c r="I33" s="24"/>
      <c r="J33" s="14"/>
      <c r="K33" s="14"/>
      <c r="L33" s="666">
        <f>'7711'!H13</f>
        <v>355110</v>
      </c>
      <c r="M33" s="14">
        <f t="shared" si="0"/>
        <v>148680</v>
      </c>
      <c r="N33" s="14"/>
      <c r="O33" s="523" t="s">
        <v>214</v>
      </c>
      <c r="P33" s="74">
        <f t="shared" si="1"/>
        <v>148680</v>
      </c>
    </row>
    <row r="34" spans="1:16" s="513" customFormat="1" ht="15.75" x14ac:dyDescent="0.25">
      <c r="A34" s="28" t="s">
        <v>193</v>
      </c>
      <c r="B34" s="500" t="s">
        <v>638</v>
      </c>
      <c r="C34" s="619" t="s">
        <v>641</v>
      </c>
      <c r="D34" s="643" t="s">
        <v>67</v>
      </c>
      <c r="E34" s="648" t="s">
        <v>54</v>
      </c>
      <c r="F34" s="648" t="s">
        <v>10</v>
      </c>
      <c r="G34" s="504"/>
      <c r="H34" s="537">
        <f>27490+105030</f>
        <v>132520</v>
      </c>
      <c r="I34" s="505"/>
      <c r="J34" s="506"/>
      <c r="K34" s="507"/>
      <c r="L34" s="5"/>
      <c r="M34" s="506">
        <f t="shared" si="0"/>
        <v>132520</v>
      </c>
      <c r="N34" s="508" t="s">
        <v>290</v>
      </c>
      <c r="O34" s="524" t="s">
        <v>947</v>
      </c>
      <c r="P34" s="74">
        <f t="shared" si="1"/>
        <v>132520</v>
      </c>
    </row>
    <row r="35" spans="1:16" s="513" customFormat="1" ht="15.75" x14ac:dyDescent="0.25">
      <c r="A35" s="28" t="s">
        <v>194</v>
      </c>
      <c r="B35" s="500" t="s">
        <v>887</v>
      </c>
      <c r="C35" s="619" t="s">
        <v>888</v>
      </c>
      <c r="D35" s="643" t="s">
        <v>74</v>
      </c>
      <c r="E35" s="648" t="s">
        <v>54</v>
      </c>
      <c r="F35" s="648" t="s">
        <v>10</v>
      </c>
      <c r="G35" s="504">
        <v>303730</v>
      </c>
      <c r="H35" s="537">
        <v>303980</v>
      </c>
      <c r="I35" s="505"/>
      <c r="J35" s="506"/>
      <c r="K35" s="507"/>
      <c r="L35" s="5"/>
      <c r="M35" s="506">
        <f t="shared" si="0"/>
        <v>303980</v>
      </c>
      <c r="N35" s="514" t="s">
        <v>16</v>
      </c>
      <c r="O35" s="524" t="s">
        <v>947</v>
      </c>
      <c r="P35" s="74">
        <f t="shared" si="1"/>
        <v>303980</v>
      </c>
    </row>
    <row r="36" spans="1:16" s="536" customFormat="1" ht="15.75" x14ac:dyDescent="0.25">
      <c r="A36" s="28" t="s">
        <v>195</v>
      </c>
      <c r="B36" s="500" t="s">
        <v>642</v>
      </c>
      <c r="C36" s="619" t="s">
        <v>948</v>
      </c>
      <c r="D36" s="643" t="s">
        <v>134</v>
      </c>
      <c r="E36" s="648" t="s">
        <v>54</v>
      </c>
      <c r="F36" s="648" t="s">
        <v>10</v>
      </c>
      <c r="G36" s="504"/>
      <c r="H36" s="537">
        <f>25970+76290</f>
        <v>102260</v>
      </c>
      <c r="I36" s="505"/>
      <c r="J36" s="506"/>
      <c r="K36" s="507"/>
      <c r="L36" s="5"/>
      <c r="M36" s="506">
        <f t="shared" si="0"/>
        <v>102260</v>
      </c>
      <c r="N36" s="508" t="s">
        <v>949</v>
      </c>
      <c r="O36" s="559" t="s">
        <v>947</v>
      </c>
      <c r="P36" s="74">
        <f t="shared" si="1"/>
        <v>102260</v>
      </c>
    </row>
    <row r="37" spans="1:16" s="510" customFormat="1" ht="15.75" x14ac:dyDescent="0.25">
      <c r="A37" s="28" t="s">
        <v>196</v>
      </c>
      <c r="B37" s="500" t="s">
        <v>620</v>
      </c>
      <c r="C37" s="619" t="s">
        <v>627</v>
      </c>
      <c r="D37" s="643" t="s">
        <v>67</v>
      </c>
      <c r="E37" s="648" t="s">
        <v>54</v>
      </c>
      <c r="F37" s="648" t="s">
        <v>10</v>
      </c>
      <c r="G37" s="504"/>
      <c r="H37" s="537">
        <v>27170</v>
      </c>
      <c r="I37" s="505"/>
      <c r="J37" s="506"/>
      <c r="K37" s="507"/>
      <c r="L37" s="5"/>
      <c r="M37" s="506">
        <f t="shared" si="0"/>
        <v>27170</v>
      </c>
      <c r="N37" s="508" t="s">
        <v>626</v>
      </c>
      <c r="O37" s="559" t="s">
        <v>947</v>
      </c>
      <c r="P37" s="74">
        <f t="shared" si="1"/>
        <v>27170</v>
      </c>
    </row>
    <row r="38" spans="1:16" s="510" customFormat="1" ht="15.75" x14ac:dyDescent="0.25">
      <c r="A38" s="28" t="s">
        <v>197</v>
      </c>
      <c r="B38" s="500" t="s">
        <v>605</v>
      </c>
      <c r="C38" s="619" t="s">
        <v>607</v>
      </c>
      <c r="D38" s="643" t="s">
        <v>67</v>
      </c>
      <c r="E38" s="648" t="s">
        <v>54</v>
      </c>
      <c r="F38" s="648" t="s">
        <v>10</v>
      </c>
      <c r="G38" s="504"/>
      <c r="H38" s="537">
        <v>24060</v>
      </c>
      <c r="I38" s="505"/>
      <c r="J38" s="506"/>
      <c r="K38" s="507"/>
      <c r="L38" s="5"/>
      <c r="M38" s="506">
        <f t="shared" si="0"/>
        <v>24060</v>
      </c>
      <c r="N38" s="508" t="s">
        <v>57</v>
      </c>
      <c r="O38" s="559" t="s">
        <v>947</v>
      </c>
      <c r="P38" s="74">
        <f t="shared" si="1"/>
        <v>24060</v>
      </c>
    </row>
    <row r="39" spans="1:16" s="510" customFormat="1" ht="15.75" x14ac:dyDescent="0.25">
      <c r="A39" s="28" t="s">
        <v>198</v>
      </c>
      <c r="B39" s="500" t="s">
        <v>597</v>
      </c>
      <c r="C39" s="630" t="s">
        <v>602</v>
      </c>
      <c r="D39" s="643" t="s">
        <v>67</v>
      </c>
      <c r="E39" s="648" t="s">
        <v>54</v>
      </c>
      <c r="F39" s="648" t="s">
        <v>10</v>
      </c>
      <c r="G39" s="504"/>
      <c r="H39" s="537">
        <f>52570+128730+208140</f>
        <v>389440</v>
      </c>
      <c r="I39" s="505"/>
      <c r="J39" s="506"/>
      <c r="K39" s="507"/>
      <c r="L39" s="53">
        <f>'4718'!H14</f>
        <v>308530</v>
      </c>
      <c r="M39" s="506">
        <f t="shared" si="0"/>
        <v>80910</v>
      </c>
      <c r="N39" s="509" t="s">
        <v>952</v>
      </c>
      <c r="O39" s="559" t="s">
        <v>947</v>
      </c>
      <c r="P39" s="74">
        <f t="shared" si="1"/>
        <v>80910</v>
      </c>
    </row>
    <row r="40" spans="1:16" s="510" customFormat="1" ht="15.75" x14ac:dyDescent="0.25">
      <c r="A40" s="28" t="s">
        <v>199</v>
      </c>
      <c r="B40" s="500" t="s">
        <v>543</v>
      </c>
      <c r="C40" s="619" t="s">
        <v>546</v>
      </c>
      <c r="D40" s="643" t="s">
        <v>183</v>
      </c>
      <c r="E40" s="648" t="s">
        <v>54</v>
      </c>
      <c r="F40" s="648" t="s">
        <v>10</v>
      </c>
      <c r="G40" s="504"/>
      <c r="H40" s="537">
        <v>507760</v>
      </c>
      <c r="I40" s="505"/>
      <c r="J40" s="506"/>
      <c r="K40" s="507"/>
      <c r="L40" s="5"/>
      <c r="M40" s="506">
        <f t="shared" si="0"/>
        <v>507760</v>
      </c>
      <c r="N40" s="514" t="s">
        <v>12</v>
      </c>
      <c r="O40" s="559" t="s">
        <v>947</v>
      </c>
      <c r="P40" s="74">
        <f t="shared" si="1"/>
        <v>507760</v>
      </c>
    </row>
    <row r="41" spans="1:16" s="510" customFormat="1" ht="15.75" x14ac:dyDescent="0.25">
      <c r="A41" s="28" t="s">
        <v>200</v>
      </c>
      <c r="B41" s="500" t="s">
        <v>560</v>
      </c>
      <c r="C41" s="619" t="s">
        <v>564</v>
      </c>
      <c r="D41" s="643" t="s">
        <v>186</v>
      </c>
      <c r="E41" s="648" t="s">
        <v>54</v>
      </c>
      <c r="F41" s="648" t="s">
        <v>10</v>
      </c>
      <c r="G41" s="504"/>
      <c r="H41" s="537">
        <f>26550+79780</f>
        <v>106330</v>
      </c>
      <c r="I41" s="505"/>
      <c r="J41" s="506"/>
      <c r="K41" s="507"/>
      <c r="L41" s="5"/>
      <c r="M41" s="506">
        <f t="shared" si="0"/>
        <v>106330</v>
      </c>
      <c r="N41" s="508" t="s">
        <v>329</v>
      </c>
      <c r="O41" s="559" t="s">
        <v>947</v>
      </c>
      <c r="P41" s="74">
        <f t="shared" si="1"/>
        <v>106330</v>
      </c>
    </row>
    <row r="42" spans="1:16" s="510" customFormat="1" ht="15.75" x14ac:dyDescent="0.25">
      <c r="A42" s="28" t="s">
        <v>201</v>
      </c>
      <c r="B42" s="500" t="s">
        <v>1016</v>
      </c>
      <c r="C42" s="619" t="s">
        <v>575</v>
      </c>
      <c r="D42" s="643" t="s">
        <v>74</v>
      </c>
      <c r="E42" s="648" t="s">
        <v>54</v>
      </c>
      <c r="F42" s="648" t="s">
        <v>10</v>
      </c>
      <c r="G42" s="504"/>
      <c r="H42" s="537">
        <v>25700</v>
      </c>
      <c r="I42" s="505"/>
      <c r="J42" s="506"/>
      <c r="K42" s="507"/>
      <c r="L42" s="5"/>
      <c r="M42" s="506">
        <f t="shared" si="0"/>
        <v>25700</v>
      </c>
      <c r="N42" s="508" t="s">
        <v>961</v>
      </c>
      <c r="O42" s="559" t="s">
        <v>947</v>
      </c>
      <c r="P42" s="74">
        <f t="shared" si="1"/>
        <v>25700</v>
      </c>
    </row>
    <row r="43" spans="1:16" s="510" customFormat="1" ht="15.75" x14ac:dyDescent="0.25">
      <c r="A43" s="28" t="s">
        <v>202</v>
      </c>
      <c r="B43" s="500" t="s">
        <v>569</v>
      </c>
      <c r="C43" s="184" t="s">
        <v>572</v>
      </c>
      <c r="D43" s="643" t="s">
        <v>134</v>
      </c>
      <c r="E43" s="648" t="s">
        <v>54</v>
      </c>
      <c r="F43" s="648" t="s">
        <v>10</v>
      </c>
      <c r="G43" s="504"/>
      <c r="H43" s="537">
        <v>51200</v>
      </c>
      <c r="I43" s="625"/>
      <c r="J43" s="506"/>
      <c r="K43" s="507"/>
      <c r="L43" s="53">
        <f>'4629'!H14</f>
        <v>50240</v>
      </c>
      <c r="M43" s="506">
        <f t="shared" si="0"/>
        <v>960</v>
      </c>
      <c r="N43" s="514" t="s">
        <v>344</v>
      </c>
      <c r="O43" s="626">
        <v>51200</v>
      </c>
    </row>
    <row r="44" spans="1:16" s="510" customFormat="1" ht="15.75" x14ac:dyDescent="0.25">
      <c r="A44" s="28" t="s">
        <v>203</v>
      </c>
      <c r="B44" s="500" t="s">
        <v>836</v>
      </c>
      <c r="C44" s="619" t="s">
        <v>839</v>
      </c>
      <c r="D44" s="643" t="s">
        <v>74</v>
      </c>
      <c r="E44" s="648" t="s">
        <v>54</v>
      </c>
      <c r="F44" s="648" t="s">
        <v>10</v>
      </c>
      <c r="G44" s="504">
        <v>26390</v>
      </c>
      <c r="H44" s="537">
        <v>26460</v>
      </c>
      <c r="I44" s="505"/>
      <c r="J44" s="506"/>
      <c r="K44" s="507"/>
      <c r="L44" s="5"/>
      <c r="M44" s="506">
        <f t="shared" si="0"/>
        <v>26460</v>
      </c>
      <c r="N44" s="508" t="s">
        <v>57</v>
      </c>
      <c r="O44" s="509">
        <f>+H44+I44-K44</f>
        <v>26460</v>
      </c>
    </row>
    <row r="45" spans="1:16" s="12" customFormat="1" ht="15.75" x14ac:dyDescent="0.25">
      <c r="A45" s="28" t="s">
        <v>225</v>
      </c>
      <c r="B45" s="31" t="s">
        <v>843</v>
      </c>
      <c r="C45" s="106" t="s">
        <v>844</v>
      </c>
      <c r="D45" s="652" t="s">
        <v>74</v>
      </c>
      <c r="E45" s="649" t="s">
        <v>54</v>
      </c>
      <c r="F45" s="649" t="s">
        <v>10</v>
      </c>
      <c r="G45" s="326">
        <v>274300</v>
      </c>
      <c r="H45" s="32">
        <f>167360+108650</f>
        <v>276010</v>
      </c>
      <c r="I45" s="24"/>
      <c r="J45" s="14"/>
      <c r="K45" s="14"/>
      <c r="L45" s="53">
        <f>'2430'!H10</f>
        <v>270110</v>
      </c>
      <c r="M45" s="14">
        <f t="shared" si="0"/>
        <v>5900</v>
      </c>
      <c r="N45" s="14"/>
      <c r="O45" s="523" t="s">
        <v>40</v>
      </c>
      <c r="P45" s="74">
        <f>H45+(I45+J45)-(K45+L45)</f>
        <v>5900</v>
      </c>
    </row>
    <row r="46" spans="1:16" s="12" customFormat="1" ht="15.75" x14ac:dyDescent="0.25">
      <c r="A46" s="28" t="s">
        <v>226</v>
      </c>
      <c r="B46" s="31" t="s">
        <v>1066</v>
      </c>
      <c r="C46" s="20" t="s">
        <v>1071</v>
      </c>
      <c r="D46" s="652" t="s">
        <v>134</v>
      </c>
      <c r="E46" s="649" t="s">
        <v>54</v>
      </c>
      <c r="F46" s="649" t="s">
        <v>10</v>
      </c>
      <c r="G46" s="326">
        <v>525050</v>
      </c>
      <c r="H46" s="32">
        <f>104350+181150+129930+104450</f>
        <v>519880</v>
      </c>
      <c r="I46" s="24"/>
      <c r="J46" s="14"/>
      <c r="K46" s="14"/>
      <c r="L46" s="14"/>
      <c r="M46" s="14">
        <f t="shared" si="0"/>
        <v>519880</v>
      </c>
      <c r="N46" s="14"/>
      <c r="O46" s="523" t="s">
        <v>12</v>
      </c>
      <c r="P46" s="74"/>
    </row>
    <row r="47" spans="1:16" s="12" customFormat="1" ht="15.75" x14ac:dyDescent="0.25">
      <c r="A47" s="28" t="s">
        <v>227</v>
      </c>
      <c r="B47" s="31" t="s">
        <v>1081</v>
      </c>
      <c r="C47" s="20" t="s">
        <v>1082</v>
      </c>
      <c r="D47" s="652" t="s">
        <v>134</v>
      </c>
      <c r="E47" s="649" t="s">
        <v>54</v>
      </c>
      <c r="F47" s="649" t="s">
        <v>10</v>
      </c>
      <c r="G47" s="326">
        <v>488910</v>
      </c>
      <c r="H47" s="32">
        <f>147780+49980+171890+123180</f>
        <v>492830</v>
      </c>
      <c r="I47" s="24"/>
      <c r="J47" s="14"/>
      <c r="K47" s="14"/>
      <c r="L47" s="14"/>
      <c r="M47" s="14">
        <f t="shared" si="0"/>
        <v>492830</v>
      </c>
      <c r="N47" s="14"/>
      <c r="O47" s="523" t="s">
        <v>12</v>
      </c>
      <c r="P47" s="74"/>
    </row>
    <row r="48" spans="1:16" s="12" customFormat="1" ht="15.75" x14ac:dyDescent="0.25">
      <c r="A48" s="28" t="s">
        <v>228</v>
      </c>
      <c r="B48" s="31" t="s">
        <v>1081</v>
      </c>
      <c r="C48" s="20" t="s">
        <v>1083</v>
      </c>
      <c r="D48" s="652" t="s">
        <v>134</v>
      </c>
      <c r="E48" s="649" t="s">
        <v>54</v>
      </c>
      <c r="F48" s="649" t="s">
        <v>10</v>
      </c>
      <c r="G48" s="326">
        <v>500120</v>
      </c>
      <c r="H48" s="32">
        <f>200240+75610+176930+50590</f>
        <v>503370</v>
      </c>
      <c r="I48" s="24"/>
      <c r="J48" s="14"/>
      <c r="K48" s="14"/>
      <c r="L48" s="14"/>
      <c r="M48" s="14">
        <f t="shared" si="0"/>
        <v>503370</v>
      </c>
      <c r="N48" s="14"/>
      <c r="O48" s="523" t="s">
        <v>12</v>
      </c>
      <c r="P48" s="74"/>
    </row>
    <row r="49" spans="1:16" s="12" customFormat="1" ht="15.75" x14ac:dyDescent="0.25">
      <c r="A49" s="28" t="s">
        <v>229</v>
      </c>
      <c r="B49" s="31" t="s">
        <v>1086</v>
      </c>
      <c r="C49" s="20" t="s">
        <v>1088</v>
      </c>
      <c r="D49" s="652" t="s">
        <v>134</v>
      </c>
      <c r="E49" s="649" t="s">
        <v>54</v>
      </c>
      <c r="F49" s="649" t="s">
        <v>10</v>
      </c>
      <c r="G49" s="326">
        <v>26490</v>
      </c>
      <c r="H49" s="32">
        <v>26530</v>
      </c>
      <c r="I49" s="24"/>
      <c r="J49" s="14"/>
      <c r="K49" s="14"/>
      <c r="L49" s="14"/>
      <c r="M49" s="14">
        <f t="shared" si="0"/>
        <v>26530</v>
      </c>
      <c r="N49" s="14"/>
      <c r="O49" s="523" t="s">
        <v>57</v>
      </c>
      <c r="P49" s="74">
        <f>H49+(I49+J49)-(K49+L49)</f>
        <v>26530</v>
      </c>
    </row>
    <row r="50" spans="1:16" s="12" customFormat="1" ht="15.75" x14ac:dyDescent="0.25">
      <c r="A50" s="28" t="s">
        <v>231</v>
      </c>
      <c r="B50" s="31"/>
      <c r="C50" s="20"/>
      <c r="D50" s="652"/>
      <c r="E50" s="649" t="s">
        <v>54</v>
      </c>
      <c r="F50" s="649" t="s">
        <v>10</v>
      </c>
      <c r="G50" s="326"/>
      <c r="H50" s="33"/>
      <c r="I50" s="24"/>
      <c r="J50" s="14"/>
      <c r="K50" s="14"/>
      <c r="L50" s="14"/>
      <c r="M50" s="14"/>
      <c r="N50" s="14"/>
      <c r="O50" s="523"/>
      <c r="P50" s="74"/>
    </row>
    <row r="51" spans="1:16" s="12" customFormat="1" ht="15.75" x14ac:dyDescent="0.25">
      <c r="A51" s="28" t="s">
        <v>236</v>
      </c>
      <c r="B51" s="31"/>
      <c r="C51" s="20"/>
      <c r="D51" s="652"/>
      <c r="E51" s="649" t="s">
        <v>54</v>
      </c>
      <c r="F51" s="649" t="s">
        <v>10</v>
      </c>
      <c r="G51" s="326"/>
      <c r="H51" s="33"/>
      <c r="I51" s="24"/>
      <c r="J51" s="14"/>
      <c r="K51" s="14"/>
      <c r="L51" s="14"/>
      <c r="M51" s="14"/>
      <c r="N51" s="14"/>
      <c r="O51" s="523"/>
      <c r="P51" s="74"/>
    </row>
    <row r="52" spans="1:16" s="12" customFormat="1" ht="15.75" x14ac:dyDescent="0.25">
      <c r="A52" s="28" t="s">
        <v>237</v>
      </c>
      <c r="B52" s="31"/>
      <c r="C52" s="20"/>
      <c r="D52" s="652"/>
      <c r="E52" s="649" t="s">
        <v>54</v>
      </c>
      <c r="F52" s="649" t="s">
        <v>10</v>
      </c>
      <c r="G52" s="326"/>
      <c r="H52" s="33"/>
      <c r="I52" s="24"/>
      <c r="J52" s="14"/>
      <c r="K52" s="14"/>
      <c r="L52" s="14"/>
      <c r="M52" s="14"/>
      <c r="N52" s="14"/>
      <c r="O52" s="523"/>
      <c r="P52" s="74"/>
    </row>
    <row r="53" spans="1:16" s="12" customFormat="1" ht="15.75" x14ac:dyDescent="0.25">
      <c r="A53" s="28" t="s">
        <v>238</v>
      </c>
      <c r="B53" s="31"/>
      <c r="C53" s="20"/>
      <c r="D53" s="652"/>
      <c r="E53" s="649" t="s">
        <v>54</v>
      </c>
      <c r="F53" s="649" t="s">
        <v>10</v>
      </c>
      <c r="G53" s="326"/>
      <c r="H53" s="33"/>
      <c r="I53" s="24"/>
      <c r="J53" s="14"/>
      <c r="K53" s="14"/>
      <c r="L53" s="14"/>
      <c r="M53" s="14"/>
      <c r="N53" s="14"/>
      <c r="O53" s="523"/>
      <c r="P53" s="74"/>
    </row>
    <row r="54" spans="1:16" s="12" customFormat="1" ht="15.75" x14ac:dyDescent="0.25">
      <c r="A54" s="28" t="s">
        <v>1089</v>
      </c>
      <c r="B54" s="31"/>
      <c r="C54" s="20"/>
      <c r="D54" s="652"/>
      <c r="E54" s="649" t="s">
        <v>54</v>
      </c>
      <c r="F54" s="649" t="s">
        <v>10</v>
      </c>
      <c r="G54" s="326"/>
      <c r="H54" s="33"/>
      <c r="I54" s="24"/>
      <c r="J54" s="14"/>
      <c r="K54" s="14"/>
      <c r="L54" s="14"/>
      <c r="M54" s="14"/>
      <c r="N54" s="14"/>
      <c r="O54" s="523"/>
      <c r="P54" s="74"/>
    </row>
    <row r="55" spans="1:16" s="12" customFormat="1" ht="15.75" x14ac:dyDescent="0.25">
      <c r="A55" s="28" t="s">
        <v>239</v>
      </c>
      <c r="B55" s="31"/>
      <c r="C55" s="20"/>
      <c r="D55" s="652"/>
      <c r="E55" s="649" t="s">
        <v>54</v>
      </c>
      <c r="F55" s="649" t="s">
        <v>10</v>
      </c>
      <c r="G55" s="326"/>
      <c r="H55" s="33"/>
      <c r="I55" s="24"/>
      <c r="J55" s="14"/>
      <c r="K55" s="14"/>
      <c r="L55" s="14"/>
      <c r="M55" s="14">
        <f>+H55+J55-L55</f>
        <v>0</v>
      </c>
      <c r="N55" s="14">
        <f>+J55-L55</f>
        <v>0</v>
      </c>
      <c r="O55" s="523"/>
      <c r="P55" s="74">
        <f>H55+(I55+J55)-(K55+L55)</f>
        <v>0</v>
      </c>
    </row>
    <row r="56" spans="1:16" s="12" customFormat="1" ht="20.25" x14ac:dyDescent="0.3">
      <c r="A56" s="802" t="s">
        <v>5</v>
      </c>
      <c r="B56" s="803"/>
      <c r="C56" s="803"/>
      <c r="D56" s="803"/>
      <c r="E56" s="803"/>
      <c r="F56" s="804"/>
      <c r="G56" s="327">
        <f t="shared" ref="G56:N56" si="2">SUM(G6:G55)</f>
        <v>6251893</v>
      </c>
      <c r="H56" s="66">
        <f t="shared" si="2"/>
        <v>10592820</v>
      </c>
      <c r="I56" s="26">
        <f t="shared" si="2"/>
        <v>0</v>
      </c>
      <c r="J56" s="6">
        <f t="shared" si="2"/>
        <v>0</v>
      </c>
      <c r="K56" s="6">
        <f t="shared" si="2"/>
        <v>0</v>
      </c>
      <c r="L56" s="6">
        <f t="shared" si="2"/>
        <v>1880090</v>
      </c>
      <c r="M56" s="66">
        <f t="shared" si="2"/>
        <v>8712730</v>
      </c>
      <c r="N56" s="6">
        <f t="shared" si="2"/>
        <v>0</v>
      </c>
      <c r="O56" s="525"/>
      <c r="P56" s="68">
        <f>SUM(P6:P55)</f>
        <v>7169230</v>
      </c>
    </row>
    <row r="57" spans="1:16" s="12" customFormat="1" ht="15.75" x14ac:dyDescent="0.25">
      <c r="A57" s="29"/>
      <c r="B57" s="29"/>
      <c r="C57" s="15"/>
      <c r="D57" s="15"/>
      <c r="E57"/>
      <c r="F57" s="206"/>
      <c r="G57" s="34"/>
      <c r="H57" s="19"/>
      <c r="I57" s="19"/>
      <c r="J57" s="19"/>
      <c r="K57" s="19"/>
      <c r="L57" s="19"/>
      <c r="M57" s="19"/>
      <c r="N57" s="19"/>
      <c r="O57" s="526"/>
      <c r="P57"/>
    </row>
    <row r="58" spans="1:16" s="12" customFormat="1" ht="15.75" x14ac:dyDescent="0.25">
      <c r="A58" s="29"/>
      <c r="B58" s="29"/>
      <c r="C58" s="15"/>
      <c r="D58" s="15"/>
      <c r="E58"/>
      <c r="F58" s="206"/>
      <c r="G58" s="34"/>
      <c r="H58" s="19"/>
      <c r="I58" s="19"/>
      <c r="J58" s="19"/>
      <c r="K58" s="19"/>
      <c r="L58" s="19"/>
      <c r="M58" s="19"/>
      <c r="N58" s="19"/>
      <c r="O58" s="526"/>
      <c r="P58"/>
    </row>
    <row r="59" spans="1:16" s="12" customFormat="1" ht="15.75" x14ac:dyDescent="0.25">
      <c r="A59" s="29"/>
      <c r="B59" s="29"/>
      <c r="C59" s="15"/>
      <c r="D59" s="15"/>
      <c r="E59"/>
      <c r="F59" s="206"/>
      <c r="G59" s="34"/>
      <c r="H59" s="19"/>
      <c r="I59" s="19"/>
      <c r="J59" s="19"/>
      <c r="K59" s="19"/>
      <c r="L59" s="19"/>
      <c r="M59" s="19"/>
      <c r="N59" s="19"/>
      <c r="O59" s="526"/>
      <c r="P59"/>
    </row>
    <row r="60" spans="1:16" s="12" customFormat="1" ht="15.75" x14ac:dyDescent="0.25">
      <c r="A60" s="29"/>
      <c r="B60" s="29"/>
      <c r="C60" s="15"/>
      <c r="D60" s="15"/>
      <c r="E60"/>
      <c r="F60" s="206"/>
      <c r="G60" s="34"/>
      <c r="H60" s="19"/>
      <c r="I60" s="19"/>
      <c r="J60" s="19"/>
      <c r="K60" s="19"/>
      <c r="L60" s="19"/>
      <c r="M60" s="19"/>
      <c r="N60" s="19"/>
      <c r="O60" s="526"/>
      <c r="P60"/>
    </row>
    <row r="61" spans="1:16" s="12" customFormat="1" ht="15.75" x14ac:dyDescent="0.25">
      <c r="A61" s="29"/>
      <c r="B61" s="29"/>
      <c r="C61" s="15"/>
      <c r="D61" s="15"/>
      <c r="E61"/>
      <c r="F61" s="206"/>
      <c r="G61" s="34"/>
      <c r="H61" s="19"/>
      <c r="I61" s="19"/>
      <c r="J61" s="19"/>
      <c r="K61" s="19"/>
      <c r="L61" s="19"/>
      <c r="M61" s="19"/>
      <c r="N61" s="19"/>
      <c r="O61" s="526"/>
      <c r="P61" s="19"/>
    </row>
    <row r="62" spans="1:16" s="12" customFormat="1" ht="15.75" x14ac:dyDescent="0.25">
      <c r="A62" s="29"/>
      <c r="B62" s="29"/>
      <c r="C62" s="15"/>
      <c r="D62" s="15"/>
      <c r="E62"/>
      <c r="F62" s="206"/>
      <c r="G62" s="34"/>
      <c r="H62" s="19"/>
      <c r="I62" s="19"/>
      <c r="J62" s="19"/>
      <c r="K62" s="19"/>
      <c r="L62" s="19"/>
      <c r="M62" s="19"/>
      <c r="N62" s="19"/>
      <c r="O62" s="526"/>
      <c r="P62"/>
    </row>
    <row r="63" spans="1:16" s="12" customFormat="1" ht="15.75" x14ac:dyDescent="0.25">
      <c r="A63" s="29"/>
      <c r="B63" s="29"/>
      <c r="C63" s="15"/>
      <c r="D63" s="15"/>
      <c r="E63"/>
      <c r="F63" s="206"/>
      <c r="G63" s="34"/>
      <c r="H63" s="19"/>
      <c r="I63" s="19"/>
      <c r="J63" s="19"/>
      <c r="K63" s="19"/>
      <c r="L63" s="19"/>
      <c r="M63" s="19"/>
      <c r="N63" s="19"/>
      <c r="O63" s="526"/>
      <c r="P63"/>
    </row>
    <row r="64" spans="1:16" s="12" customFormat="1" ht="15.75" x14ac:dyDescent="0.25">
      <c r="A64" s="29"/>
      <c r="B64" s="29"/>
      <c r="C64" s="15"/>
      <c r="D64" s="15"/>
      <c r="E64"/>
      <c r="F64" s="206"/>
      <c r="G64" s="34"/>
      <c r="H64" s="19"/>
      <c r="I64" s="19"/>
      <c r="J64" s="19"/>
      <c r="K64" s="19"/>
      <c r="L64" s="19"/>
      <c r="M64" s="19"/>
      <c r="N64" s="19"/>
      <c r="O64" s="526"/>
      <c r="P64"/>
    </row>
    <row r="65" spans="1:16" s="12" customFormat="1" ht="15.75" x14ac:dyDescent="0.25">
      <c r="A65" s="29"/>
      <c r="B65" s="29"/>
      <c r="C65" s="15"/>
      <c r="D65" s="15"/>
      <c r="E65"/>
      <c r="F65" s="206"/>
      <c r="G65" s="34"/>
      <c r="H65" s="19"/>
      <c r="I65" s="19"/>
      <c r="J65" s="19"/>
      <c r="K65" s="19"/>
      <c r="L65" s="19"/>
      <c r="M65" s="19"/>
      <c r="N65" s="19"/>
      <c r="O65" s="526"/>
      <c r="P65"/>
    </row>
    <row r="66" spans="1:16" s="12" customFormat="1" ht="15.75" x14ac:dyDescent="0.25">
      <c r="A66" s="29"/>
      <c r="B66" s="29"/>
      <c r="C66" s="15"/>
      <c r="D66" s="15"/>
      <c r="E66"/>
      <c r="F66" s="206"/>
      <c r="G66" s="34"/>
      <c r="H66" s="19"/>
      <c r="I66" s="19"/>
      <c r="J66" s="19"/>
      <c r="K66" s="19"/>
      <c r="L66" s="19"/>
      <c r="M66" s="19"/>
      <c r="N66" s="19"/>
      <c r="O66" s="526"/>
      <c r="P66"/>
    </row>
    <row r="67" spans="1:16" s="12" customFormat="1" ht="15.75" x14ac:dyDescent="0.25">
      <c r="A67" s="29"/>
      <c r="B67" s="29"/>
      <c r="C67" s="15"/>
      <c r="D67" s="15"/>
      <c r="E67"/>
      <c r="F67" s="206"/>
      <c r="G67" s="34"/>
      <c r="H67" s="19"/>
      <c r="I67" s="19"/>
      <c r="J67" s="19"/>
      <c r="K67" s="19"/>
      <c r="L67" s="19"/>
      <c r="M67" s="19"/>
      <c r="N67" s="19"/>
      <c r="O67" s="526"/>
      <c r="P67"/>
    </row>
    <row r="68" spans="1:16" s="12" customFormat="1" ht="15.75" x14ac:dyDescent="0.25">
      <c r="A68" s="29"/>
      <c r="B68" s="29"/>
      <c r="C68" s="15"/>
      <c r="D68" s="15"/>
      <c r="E68"/>
      <c r="F68" s="206"/>
      <c r="G68" s="34"/>
      <c r="H68" s="19"/>
      <c r="I68" s="19"/>
      <c r="J68" s="19"/>
      <c r="K68" s="19"/>
      <c r="L68" s="19"/>
      <c r="M68" s="19"/>
      <c r="N68" s="19"/>
      <c r="O68" s="526"/>
      <c r="P68"/>
    </row>
    <row r="69" spans="1:16" s="12" customFormat="1" ht="15.75" x14ac:dyDescent="0.25">
      <c r="A69" s="29"/>
      <c r="B69" s="29"/>
      <c r="C69" s="15"/>
      <c r="D69" s="15"/>
      <c r="E69"/>
      <c r="F69" s="206"/>
      <c r="G69" s="34"/>
      <c r="H69" s="19"/>
      <c r="I69" s="19"/>
      <c r="J69" s="19"/>
      <c r="K69" s="19"/>
      <c r="L69" s="19"/>
      <c r="M69" s="19"/>
      <c r="N69" s="19"/>
      <c r="O69" s="526"/>
      <c r="P69"/>
    </row>
    <row r="70" spans="1:16" s="12" customFormat="1" ht="15.75" x14ac:dyDescent="0.25">
      <c r="A70" s="29"/>
      <c r="B70" s="29"/>
      <c r="C70" s="15"/>
      <c r="D70" s="15"/>
      <c r="E70"/>
      <c r="F70" s="206"/>
      <c r="G70" s="34"/>
      <c r="H70" s="19"/>
      <c r="I70" s="19"/>
      <c r="J70" s="19"/>
      <c r="K70" s="19"/>
      <c r="L70" s="19"/>
      <c r="M70" s="19"/>
      <c r="N70" s="19"/>
      <c r="O70" s="526"/>
      <c r="P70"/>
    </row>
    <row r="71" spans="1:16" s="12" customFormat="1" ht="15.75" x14ac:dyDescent="0.25">
      <c r="A71" s="29"/>
      <c r="B71" s="29"/>
      <c r="C71" s="15"/>
      <c r="D71" s="15"/>
      <c r="E71"/>
      <c r="F71" s="206"/>
      <c r="G71" s="34"/>
      <c r="H71" s="19"/>
      <c r="I71" s="19"/>
      <c r="J71" s="19"/>
      <c r="K71" s="19"/>
      <c r="L71" s="19"/>
      <c r="M71" s="19"/>
      <c r="N71" s="19"/>
      <c r="O71" s="526"/>
      <c r="P71"/>
    </row>
    <row r="72" spans="1:16" s="12" customFormat="1" ht="15.75" x14ac:dyDescent="0.25">
      <c r="A72" s="29"/>
      <c r="B72" s="29"/>
      <c r="C72" s="15"/>
      <c r="D72" s="15"/>
      <c r="E72"/>
      <c r="F72" s="206"/>
      <c r="G72" s="34"/>
      <c r="H72" s="19"/>
      <c r="I72" s="19"/>
      <c r="J72" s="19"/>
      <c r="K72" s="19"/>
      <c r="L72" s="19"/>
      <c r="M72" s="19"/>
      <c r="N72" s="19"/>
      <c r="O72" s="526"/>
      <c r="P72"/>
    </row>
    <row r="73" spans="1:16" s="12" customFormat="1" ht="15.75" x14ac:dyDescent="0.25">
      <c r="A73" s="29"/>
      <c r="B73" s="29"/>
      <c r="C73" s="15"/>
      <c r="D73" s="15"/>
      <c r="E73"/>
      <c r="F73" s="206"/>
      <c r="G73" s="34"/>
      <c r="H73" s="19"/>
      <c r="I73" s="19"/>
      <c r="J73" s="19"/>
      <c r="K73" s="19"/>
      <c r="L73" s="19"/>
      <c r="M73" s="19"/>
      <c r="N73" s="19"/>
      <c r="O73" s="526"/>
      <c r="P73"/>
    </row>
    <row r="74" spans="1:16" s="12" customFormat="1" ht="15.75" x14ac:dyDescent="0.25">
      <c r="A74" s="29"/>
      <c r="B74" s="29"/>
      <c r="C74" s="15"/>
      <c r="D74" s="15"/>
      <c r="E74"/>
      <c r="F74" s="206"/>
      <c r="G74" s="34"/>
      <c r="H74" s="19"/>
      <c r="I74" s="19"/>
      <c r="J74" s="19"/>
      <c r="K74" s="19"/>
      <c r="L74" s="19"/>
      <c r="M74" s="19"/>
      <c r="N74" s="19"/>
      <c r="O74" s="526"/>
      <c r="P74"/>
    </row>
    <row r="75" spans="1:16" s="12" customFormat="1" ht="15.75" x14ac:dyDescent="0.25">
      <c r="A75" s="29"/>
      <c r="B75" s="29"/>
      <c r="C75" s="15"/>
      <c r="D75" s="15"/>
      <c r="E75"/>
      <c r="F75" s="206"/>
      <c r="G75" s="34"/>
      <c r="H75" s="19"/>
      <c r="I75" s="19"/>
      <c r="J75" s="19"/>
      <c r="K75" s="19"/>
      <c r="L75" s="19"/>
      <c r="M75" s="19"/>
      <c r="N75" s="19"/>
      <c r="O75" s="526"/>
      <c r="P75"/>
    </row>
    <row r="76" spans="1:16" s="12" customFormat="1" ht="15.75" x14ac:dyDescent="0.25">
      <c r="A76" s="29"/>
      <c r="B76" s="29"/>
      <c r="C76" s="15"/>
      <c r="D76" s="15"/>
      <c r="E76"/>
      <c r="F76" s="206"/>
      <c r="G76" s="34"/>
      <c r="H76" s="19"/>
      <c r="I76" s="19"/>
      <c r="J76" s="19"/>
      <c r="K76" s="19"/>
      <c r="L76" s="19"/>
      <c r="M76" s="19"/>
      <c r="N76" s="19"/>
      <c r="O76" s="526"/>
      <c r="P76"/>
    </row>
    <row r="77" spans="1:16" s="12" customFormat="1" ht="15.75" x14ac:dyDescent="0.25">
      <c r="A77" s="29"/>
      <c r="B77" s="29"/>
      <c r="C77" s="15"/>
      <c r="D77" s="15"/>
      <c r="E77"/>
      <c r="F77" s="206"/>
      <c r="G77" s="34"/>
      <c r="H77" s="19"/>
      <c r="I77" s="19"/>
      <c r="J77" s="19"/>
      <c r="K77" s="19"/>
      <c r="L77" s="19"/>
      <c r="M77" s="19"/>
      <c r="N77" s="19"/>
      <c r="O77" s="526"/>
      <c r="P77"/>
    </row>
    <row r="78" spans="1:16" s="3" customFormat="1" x14ac:dyDescent="0.25">
      <c r="A78" s="29"/>
      <c r="B78" s="29"/>
      <c r="C78" s="15"/>
      <c r="D78" s="15"/>
      <c r="E78"/>
      <c r="F78" s="206"/>
      <c r="G78" s="34"/>
      <c r="H78" s="19"/>
      <c r="I78" s="19"/>
      <c r="J78" s="19"/>
      <c r="K78" s="19"/>
      <c r="L78" s="19"/>
      <c r="M78" s="19"/>
      <c r="N78" s="19"/>
      <c r="O78" s="526"/>
      <c r="P78"/>
    </row>
    <row r="79" spans="1:16" s="3" customFormat="1" x14ac:dyDescent="0.25">
      <c r="A79" s="29"/>
      <c r="B79" s="29"/>
      <c r="C79" s="15"/>
      <c r="D79" s="15"/>
      <c r="E79"/>
      <c r="F79" s="206"/>
      <c r="G79" s="34"/>
      <c r="H79" s="19"/>
      <c r="I79" s="19"/>
      <c r="J79" s="19"/>
      <c r="K79" s="19"/>
      <c r="L79" s="19"/>
      <c r="M79" s="19"/>
      <c r="N79" s="19"/>
      <c r="O79" s="526"/>
      <c r="P79"/>
    </row>
    <row r="80" spans="1:16" s="3" customFormat="1" x14ac:dyDescent="0.25">
      <c r="A80" s="29"/>
      <c r="B80" s="29"/>
      <c r="C80" s="15"/>
      <c r="D80" s="15"/>
      <c r="E80"/>
      <c r="F80" s="206"/>
      <c r="G80" s="34"/>
      <c r="H80" s="19"/>
      <c r="I80" s="19"/>
      <c r="J80" s="19"/>
      <c r="K80" s="19"/>
      <c r="L80" s="19"/>
      <c r="M80" s="19"/>
      <c r="N80" s="19"/>
      <c r="O80" s="526"/>
      <c r="P80"/>
    </row>
    <row r="81" spans="1:16" s="3" customFormat="1" x14ac:dyDescent="0.25">
      <c r="A81" s="29"/>
      <c r="B81" s="29"/>
      <c r="C81" s="15"/>
      <c r="D81" s="15"/>
      <c r="E81"/>
      <c r="F81" s="206"/>
      <c r="G81" s="34"/>
      <c r="H81" s="19"/>
      <c r="I81" s="19"/>
      <c r="J81" s="19"/>
      <c r="K81" s="19"/>
      <c r="L81" s="19"/>
      <c r="M81" s="19"/>
      <c r="N81" s="19"/>
      <c r="O81" s="526"/>
      <c r="P81"/>
    </row>
    <row r="82" spans="1:16" s="3" customFormat="1" x14ac:dyDescent="0.25">
      <c r="A82" s="29"/>
      <c r="B82" s="29"/>
      <c r="C82" s="15"/>
      <c r="D82" s="15"/>
      <c r="E82"/>
      <c r="F82" s="206"/>
      <c r="G82" s="34"/>
      <c r="H82" s="19"/>
      <c r="I82" s="19"/>
      <c r="J82" s="19"/>
      <c r="K82" s="19"/>
      <c r="L82" s="19"/>
      <c r="M82" s="19"/>
      <c r="N82" s="19"/>
      <c r="O82" s="526"/>
      <c r="P82"/>
    </row>
    <row r="83" spans="1:16" s="4" customFormat="1" ht="21" customHeight="1" x14ac:dyDescent="0.3">
      <c r="A83" s="29"/>
      <c r="B83" s="29"/>
      <c r="C83" s="15"/>
      <c r="D83" s="15"/>
      <c r="E83"/>
      <c r="F83" s="206"/>
      <c r="G83" s="34"/>
      <c r="H83" s="19"/>
      <c r="I83" s="19"/>
      <c r="J83" s="19"/>
      <c r="K83" s="19"/>
      <c r="L83" s="19"/>
      <c r="M83" s="19"/>
      <c r="N83" s="19"/>
      <c r="O83" s="526"/>
      <c r="P83"/>
    </row>
  </sheetData>
  <mergeCells count="8">
    <mergeCell ref="A1:P1"/>
    <mergeCell ref="A56:F56"/>
    <mergeCell ref="I4:J4"/>
    <mergeCell ref="K4:L4"/>
    <mergeCell ref="M4:N4"/>
    <mergeCell ref="A4:A5"/>
    <mergeCell ref="B4:B5"/>
    <mergeCell ref="C4:C5"/>
  </mergeCells>
  <hyperlinks>
    <hyperlink ref="C16" location="'6853'!A1" display="104269536561(BCU0106853)"/>
    <hyperlink ref="C26" location="'0470'!A1" display="104518331301 (COSU6319470470)"/>
    <hyperlink ref="C27" location="'9860'!A1" display="104518092711 (OOLU4052419860)"/>
    <hyperlink ref="C39" location="'4718'!A1" display="104308248001(AFIC/SIN/204718)"/>
    <hyperlink ref="C43" location="'4629'!A1" display="104298375861(208604629)"/>
    <hyperlink ref="C32" location="'7661'!A1" display="104748732762(MEDUTM187661)"/>
    <hyperlink ref="C45" location="'2430'!A1" display="104518170151(OOLU4052482430)"/>
    <hyperlink ref="C33" location="'7711'!A1" display="104748965751(MEDUTM87711)"/>
  </hyperlinks>
  <pageMargins left="0.7" right="0.7" top="0.75" bottom="0.75" header="0.3" footer="0.3"/>
  <pageSetup scale="5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50"/>
    <pageSetUpPr fitToPage="1"/>
  </sheetPr>
  <dimension ref="A1:P70"/>
  <sheetViews>
    <sheetView showGridLines="0" topLeftCell="A4" workbookViewId="0">
      <pane ySplit="2" topLeftCell="A36" activePane="bottomLeft" state="frozen"/>
      <selection activeCell="A4" sqref="A4"/>
      <selection pane="bottomLeft" activeCell="H46" sqref="H46"/>
    </sheetView>
  </sheetViews>
  <sheetFormatPr defaultRowHeight="15" x14ac:dyDescent="0.25"/>
  <cols>
    <col min="1" max="1" width="6.28515625" style="29" customWidth="1"/>
    <col min="2" max="2" width="12.42578125" style="29" customWidth="1"/>
    <col min="3" max="3" width="38.5703125" style="18" customWidth="1"/>
    <col min="4" max="4" width="7.140625" style="85" customWidth="1"/>
    <col min="5" max="5" width="16" customWidth="1"/>
    <col min="6" max="6" width="6.7109375" style="206" customWidth="1"/>
    <col min="7" max="7" width="15.7109375" style="331" customWidth="1"/>
    <col min="8" max="8" width="16.42578125" customWidth="1"/>
    <col min="9" max="9" width="12.5703125" customWidth="1"/>
    <col min="10" max="10" width="11.7109375" style="19" customWidth="1"/>
    <col min="11" max="11" width="9" customWidth="1"/>
    <col min="12" max="12" width="11" style="19" customWidth="1"/>
    <col min="13" max="13" width="15.85546875" customWidth="1"/>
    <col min="14" max="14" width="8.5703125" hidden="1" customWidth="1"/>
    <col min="15" max="15" width="15.5703125" customWidth="1"/>
    <col min="16" max="16" width="14.85546875" customWidth="1"/>
    <col min="18" max="18" width="11.85546875" customWidth="1"/>
  </cols>
  <sheetData>
    <row r="1" spans="1:16" ht="34.5" x14ac:dyDescent="0.45">
      <c r="A1" s="805" t="s">
        <v>63</v>
      </c>
      <c r="B1" s="805"/>
      <c r="C1" s="805"/>
      <c r="D1" s="805"/>
      <c r="E1" s="805"/>
      <c r="F1" s="805"/>
      <c r="G1" s="805"/>
      <c r="H1" s="805"/>
      <c r="I1" s="805"/>
      <c r="J1" s="805"/>
      <c r="K1" s="805"/>
      <c r="L1" s="805"/>
      <c r="M1" s="805"/>
      <c r="N1" s="805"/>
      <c r="O1" s="805"/>
      <c r="P1" s="805"/>
    </row>
    <row r="2" spans="1:16" ht="18" customHeight="1" x14ac:dyDescent="0.45">
      <c r="A2" s="78"/>
      <c r="B2" s="78"/>
      <c r="C2" s="78"/>
      <c r="D2" s="82"/>
      <c r="E2" s="78"/>
      <c r="F2" s="291"/>
      <c r="G2" s="329"/>
      <c r="H2" s="78"/>
      <c r="I2" s="78"/>
      <c r="J2" s="78"/>
      <c r="K2" s="78"/>
      <c r="L2" s="78"/>
      <c r="M2" s="79" t="s">
        <v>62</v>
      </c>
      <c r="N2" s="78"/>
      <c r="O2" s="80">
        <f ca="1">TODAY()</f>
        <v>44848</v>
      </c>
      <c r="P2" s="78"/>
    </row>
    <row r="3" spans="1:16" s="52" customFormat="1" ht="15.75" x14ac:dyDescent="0.25">
      <c r="A3" s="45"/>
      <c r="B3" s="45"/>
      <c r="C3" s="46"/>
      <c r="D3" s="83"/>
      <c r="E3" s="44" t="s">
        <v>43</v>
      </c>
      <c r="F3" s="294"/>
      <c r="G3" s="330"/>
      <c r="H3" s="48" t="s">
        <v>41</v>
      </c>
      <c r="I3" s="49" t="s">
        <v>42</v>
      </c>
      <c r="J3" s="50"/>
      <c r="K3" s="49"/>
      <c r="L3" s="51"/>
    </row>
    <row r="4" spans="1:16" s="1" customFormat="1" ht="46.5" customHeight="1" x14ac:dyDescent="0.3">
      <c r="A4" s="38" t="s">
        <v>0</v>
      </c>
      <c r="B4" s="16" t="s">
        <v>38</v>
      </c>
      <c r="C4" s="16" t="s">
        <v>39</v>
      </c>
      <c r="D4" s="84" t="s">
        <v>64</v>
      </c>
      <c r="E4" s="7" t="s">
        <v>3</v>
      </c>
      <c r="F4" s="7" t="s">
        <v>4</v>
      </c>
      <c r="G4" s="308" t="s">
        <v>743</v>
      </c>
      <c r="H4" s="135" t="s">
        <v>6</v>
      </c>
      <c r="I4" s="752" t="s">
        <v>7</v>
      </c>
      <c r="J4" s="753"/>
      <c r="K4" s="752" t="s">
        <v>8</v>
      </c>
      <c r="L4" s="753"/>
      <c r="M4" s="752" t="s">
        <v>59</v>
      </c>
      <c r="N4" s="753"/>
      <c r="O4" s="7" t="s">
        <v>1</v>
      </c>
      <c r="P4" s="62" t="s">
        <v>9</v>
      </c>
    </row>
    <row r="5" spans="1:16" s="1" customFormat="1" ht="15.75" customHeight="1" x14ac:dyDescent="0.3">
      <c r="A5" s="39"/>
      <c r="B5" s="27"/>
      <c r="C5" s="16"/>
      <c r="D5" s="84"/>
      <c r="E5" s="7"/>
      <c r="F5" s="7"/>
      <c r="G5" s="325" t="s">
        <v>13</v>
      </c>
      <c r="H5" s="21" t="s">
        <v>13</v>
      </c>
      <c r="I5" s="21" t="s">
        <v>51</v>
      </c>
      <c r="J5" s="21" t="s">
        <v>53</v>
      </c>
      <c r="K5" s="21" t="s">
        <v>51</v>
      </c>
      <c r="L5" s="21" t="s">
        <v>52</v>
      </c>
      <c r="M5" s="21" t="s">
        <v>13</v>
      </c>
      <c r="N5" s="21" t="s">
        <v>14</v>
      </c>
      <c r="O5" s="7"/>
      <c r="P5" s="63" t="s">
        <v>13</v>
      </c>
    </row>
    <row r="6" spans="1:16" s="12" customFormat="1" ht="15.75" x14ac:dyDescent="0.25">
      <c r="A6" s="28" t="s">
        <v>32</v>
      </c>
      <c r="B6" s="31" t="s">
        <v>251</v>
      </c>
      <c r="C6" s="17" t="s">
        <v>253</v>
      </c>
      <c r="D6" s="652" t="s">
        <v>74</v>
      </c>
      <c r="E6" s="653" t="s">
        <v>11</v>
      </c>
      <c r="F6" s="356" t="s">
        <v>10</v>
      </c>
      <c r="G6" s="340"/>
      <c r="H6" s="32">
        <f>187620+79730+134120</f>
        <v>401470</v>
      </c>
      <c r="I6" s="14"/>
      <c r="J6" s="14"/>
      <c r="K6" s="14"/>
      <c r="L6" s="10"/>
      <c r="M6" s="10">
        <f t="shared" ref="M6:M50" si="0">+H6+J6-L6</f>
        <v>401470</v>
      </c>
      <c r="N6" s="22"/>
      <c r="O6" s="274" t="s">
        <v>232</v>
      </c>
      <c r="P6" s="61">
        <f t="shared" ref="P6:P33" si="1">H6+(I6+J6)-(K6+L6)</f>
        <v>401470</v>
      </c>
    </row>
    <row r="7" spans="1:16" s="12" customFormat="1" ht="15.75" x14ac:dyDescent="0.25">
      <c r="A7" s="28" t="s">
        <v>33</v>
      </c>
      <c r="B7" s="31" t="s">
        <v>258</v>
      </c>
      <c r="C7" s="17" t="s">
        <v>257</v>
      </c>
      <c r="D7" s="652" t="s">
        <v>74</v>
      </c>
      <c r="E7" s="653" t="s">
        <v>11</v>
      </c>
      <c r="F7" s="356" t="s">
        <v>10</v>
      </c>
      <c r="G7" s="340"/>
      <c r="H7" s="32">
        <v>26780</v>
      </c>
      <c r="I7" s="14"/>
      <c r="J7" s="14"/>
      <c r="K7" s="14"/>
      <c r="L7" s="10"/>
      <c r="M7" s="10">
        <f t="shared" si="0"/>
        <v>26780</v>
      </c>
      <c r="N7" s="22"/>
      <c r="O7" s="274" t="s">
        <v>57</v>
      </c>
      <c r="P7" s="61">
        <f t="shared" si="1"/>
        <v>26780</v>
      </c>
    </row>
    <row r="8" spans="1:16" s="12" customFormat="1" ht="15.75" x14ac:dyDescent="0.25">
      <c r="A8" s="28" t="s">
        <v>34</v>
      </c>
      <c r="B8" s="31" t="s">
        <v>312</v>
      </c>
      <c r="C8" s="87" t="s">
        <v>316</v>
      </c>
      <c r="D8" s="652" t="s">
        <v>74</v>
      </c>
      <c r="E8" s="653" t="s">
        <v>11</v>
      </c>
      <c r="F8" s="356" t="s">
        <v>10</v>
      </c>
      <c r="G8" s="340"/>
      <c r="H8" s="32">
        <f>101840+109360+157740+56030</f>
        <v>424970</v>
      </c>
      <c r="I8" s="14"/>
      <c r="J8" s="14"/>
      <c r="K8" s="14"/>
      <c r="L8" s="204">
        <f>'8903'!H14</f>
        <v>268510</v>
      </c>
      <c r="M8" s="10">
        <f t="shared" si="0"/>
        <v>156460</v>
      </c>
      <c r="N8" s="22"/>
      <c r="O8" s="274" t="s">
        <v>317</v>
      </c>
      <c r="P8" s="61">
        <f t="shared" si="1"/>
        <v>156460</v>
      </c>
    </row>
    <row r="9" spans="1:16" s="12" customFormat="1" ht="15.75" x14ac:dyDescent="0.25">
      <c r="A9" s="28" t="s">
        <v>35</v>
      </c>
      <c r="B9" s="31" t="s">
        <v>327</v>
      </c>
      <c r="C9" s="17" t="s">
        <v>328</v>
      </c>
      <c r="D9" s="652" t="s">
        <v>183</v>
      </c>
      <c r="E9" s="653" t="s">
        <v>11</v>
      </c>
      <c r="F9" s="356" t="s">
        <v>10</v>
      </c>
      <c r="G9" s="340"/>
      <c r="H9" s="32">
        <f>27900+83450</f>
        <v>111350</v>
      </c>
      <c r="I9" s="14"/>
      <c r="J9" s="14"/>
      <c r="K9" s="14"/>
      <c r="L9" s="10"/>
      <c r="M9" s="10">
        <f t="shared" si="0"/>
        <v>111350</v>
      </c>
      <c r="N9" s="22"/>
      <c r="O9" s="274" t="s">
        <v>329</v>
      </c>
      <c r="P9" s="61">
        <f t="shared" si="1"/>
        <v>111350</v>
      </c>
    </row>
    <row r="10" spans="1:16" s="12" customFormat="1" ht="15.75" x14ac:dyDescent="0.25">
      <c r="A10" s="28" t="s">
        <v>36</v>
      </c>
      <c r="B10" s="31" t="s">
        <v>337</v>
      </c>
      <c r="C10" t="s">
        <v>339</v>
      </c>
      <c r="D10" s="652" t="s">
        <v>67</v>
      </c>
      <c r="E10" s="653" t="s">
        <v>11</v>
      </c>
      <c r="F10" s="356" t="s">
        <v>10</v>
      </c>
      <c r="G10" s="340"/>
      <c r="H10" s="32">
        <f>51260+51850+51880</f>
        <v>154990</v>
      </c>
      <c r="I10" s="14"/>
      <c r="J10" s="14"/>
      <c r="K10" s="14"/>
      <c r="L10" s="10"/>
      <c r="M10" s="10">
        <f t="shared" si="0"/>
        <v>154990</v>
      </c>
      <c r="N10" s="22"/>
      <c r="O10" s="274" t="s">
        <v>58</v>
      </c>
      <c r="P10" s="61">
        <f t="shared" si="1"/>
        <v>154990</v>
      </c>
    </row>
    <row r="11" spans="1:16" s="12" customFormat="1" ht="15.75" x14ac:dyDescent="0.25">
      <c r="A11" s="28" t="s">
        <v>17</v>
      </c>
      <c r="B11" s="31" t="s">
        <v>340</v>
      </c>
      <c r="C11" s="17" t="s">
        <v>341</v>
      </c>
      <c r="D11" s="652" t="s">
        <v>183</v>
      </c>
      <c r="E11" s="653" t="s">
        <v>11</v>
      </c>
      <c r="F11" s="356" t="s">
        <v>10</v>
      </c>
      <c r="G11" s="340"/>
      <c r="H11" s="32">
        <v>26710</v>
      </c>
      <c r="I11" s="14"/>
      <c r="J11" s="14"/>
      <c r="K11" s="14"/>
      <c r="L11" s="10"/>
      <c r="M11" s="10">
        <f t="shared" si="0"/>
        <v>26710</v>
      </c>
      <c r="N11" s="22"/>
      <c r="O11" s="274" t="s">
        <v>57</v>
      </c>
      <c r="P11" s="61">
        <f t="shared" si="1"/>
        <v>26710</v>
      </c>
    </row>
    <row r="12" spans="1:16" s="12" customFormat="1" ht="15.75" x14ac:dyDescent="0.25">
      <c r="A12" s="28" t="s">
        <v>18</v>
      </c>
      <c r="B12" s="31" t="s">
        <v>1020</v>
      </c>
      <c r="C12" s="17" t="s">
        <v>346</v>
      </c>
      <c r="D12" s="652" t="s">
        <v>183</v>
      </c>
      <c r="E12" s="653" t="s">
        <v>11</v>
      </c>
      <c r="F12" s="356" t="s">
        <v>10</v>
      </c>
      <c r="G12" s="340"/>
      <c r="H12" s="32">
        <v>50160</v>
      </c>
      <c r="I12" s="14"/>
      <c r="J12" s="14"/>
      <c r="K12" s="14"/>
      <c r="L12" s="10"/>
      <c r="M12" s="10">
        <f t="shared" si="0"/>
        <v>50160</v>
      </c>
      <c r="N12" s="22"/>
      <c r="O12" s="274" t="s">
        <v>344</v>
      </c>
      <c r="P12" s="61">
        <f t="shared" si="1"/>
        <v>50160</v>
      </c>
    </row>
    <row r="13" spans="1:16" s="12" customFormat="1" ht="15.75" x14ac:dyDescent="0.25">
      <c r="A13" s="28" t="s">
        <v>19</v>
      </c>
      <c r="B13" s="31" t="s">
        <v>1020</v>
      </c>
      <c r="C13" s="17" t="s">
        <v>345</v>
      </c>
      <c r="D13" s="652" t="s">
        <v>74</v>
      </c>
      <c r="E13" s="653" t="s">
        <v>11</v>
      </c>
      <c r="F13" s="356" t="s">
        <v>10</v>
      </c>
      <c r="G13" s="340"/>
      <c r="H13" s="32">
        <v>51960</v>
      </c>
      <c r="I13" s="14"/>
      <c r="J13" s="14"/>
      <c r="K13" s="14"/>
      <c r="L13" s="10"/>
      <c r="M13" s="10">
        <f t="shared" si="0"/>
        <v>51960</v>
      </c>
      <c r="N13" s="22"/>
      <c r="O13" s="274" t="s">
        <v>344</v>
      </c>
      <c r="P13" s="61">
        <f t="shared" si="1"/>
        <v>51960</v>
      </c>
    </row>
    <row r="14" spans="1:16" s="12" customFormat="1" ht="15.75" x14ac:dyDescent="0.25">
      <c r="A14" s="28" t="s">
        <v>20</v>
      </c>
      <c r="B14" s="31" t="s">
        <v>1020</v>
      </c>
      <c r="C14" s="17" t="s">
        <v>347</v>
      </c>
      <c r="D14" s="652" t="s">
        <v>183</v>
      </c>
      <c r="E14" s="653" t="s">
        <v>11</v>
      </c>
      <c r="F14" s="356" t="s">
        <v>10</v>
      </c>
      <c r="G14" s="340"/>
      <c r="H14" s="32">
        <f>26970+102920</f>
        <v>129890</v>
      </c>
      <c r="I14" s="14"/>
      <c r="J14" s="14"/>
      <c r="K14" s="14"/>
      <c r="L14" s="10"/>
      <c r="M14" s="10">
        <f t="shared" si="0"/>
        <v>129890</v>
      </c>
      <c r="N14" s="22"/>
      <c r="O14" s="274" t="s">
        <v>290</v>
      </c>
      <c r="P14" s="61">
        <f t="shared" si="1"/>
        <v>129890</v>
      </c>
    </row>
    <row r="15" spans="1:16" s="12" customFormat="1" ht="15.75" x14ac:dyDescent="0.25">
      <c r="A15" s="28" t="s">
        <v>387</v>
      </c>
      <c r="B15" s="31" t="s">
        <v>1020</v>
      </c>
      <c r="C15" s="17" t="s">
        <v>348</v>
      </c>
      <c r="D15" s="652" t="s">
        <v>183</v>
      </c>
      <c r="E15" s="653" t="s">
        <v>11</v>
      </c>
      <c r="F15" s="356" t="s">
        <v>10</v>
      </c>
      <c r="G15" s="340"/>
      <c r="H15" s="32">
        <v>77100</v>
      </c>
      <c r="I15" s="14"/>
      <c r="J15" s="14"/>
      <c r="K15" s="14"/>
      <c r="L15" s="10"/>
      <c r="M15" s="10">
        <f t="shared" si="0"/>
        <v>77100</v>
      </c>
      <c r="N15" s="22"/>
      <c r="O15" s="274" t="s">
        <v>204</v>
      </c>
      <c r="P15" s="61">
        <f t="shared" si="1"/>
        <v>77100</v>
      </c>
    </row>
    <row r="16" spans="1:16" s="12" customFormat="1" ht="15.75" x14ac:dyDescent="0.25">
      <c r="A16" s="28" t="s">
        <v>21</v>
      </c>
      <c r="B16" s="31" t="s">
        <v>1019</v>
      </c>
      <c r="C16" s="17" t="s">
        <v>350</v>
      </c>
      <c r="D16" s="652" t="s">
        <v>67</v>
      </c>
      <c r="E16" s="653" t="s">
        <v>11</v>
      </c>
      <c r="F16" s="356" t="s">
        <v>10</v>
      </c>
      <c r="G16" s="340"/>
      <c r="H16" s="32">
        <v>26060</v>
      </c>
      <c r="I16" s="14"/>
      <c r="J16" s="14"/>
      <c r="K16" s="14"/>
      <c r="L16" s="10"/>
      <c r="M16" s="10">
        <f t="shared" si="0"/>
        <v>26060</v>
      </c>
      <c r="N16" s="22"/>
      <c r="O16" s="274" t="s">
        <v>57</v>
      </c>
      <c r="P16" s="61">
        <f t="shared" si="1"/>
        <v>26060</v>
      </c>
    </row>
    <row r="17" spans="1:16" s="12" customFormat="1" ht="15.75" x14ac:dyDescent="0.25">
      <c r="A17" s="28" t="s">
        <v>422</v>
      </c>
      <c r="B17" s="31" t="s">
        <v>1019</v>
      </c>
      <c r="C17" s="17" t="s">
        <v>352</v>
      </c>
      <c r="D17" s="652" t="s">
        <v>67</v>
      </c>
      <c r="E17" s="653" t="s">
        <v>11</v>
      </c>
      <c r="F17" s="356" t="s">
        <v>10</v>
      </c>
      <c r="G17" s="340"/>
      <c r="H17" s="32">
        <v>26120</v>
      </c>
      <c r="I17" s="14"/>
      <c r="J17" s="14"/>
      <c r="K17" s="14"/>
      <c r="L17" s="10"/>
      <c r="M17" s="10">
        <f t="shared" si="0"/>
        <v>26120</v>
      </c>
      <c r="N17" s="22"/>
      <c r="O17" s="274" t="s">
        <v>57</v>
      </c>
      <c r="P17" s="61">
        <f t="shared" si="1"/>
        <v>26120</v>
      </c>
    </row>
    <row r="18" spans="1:16" s="12" customFormat="1" ht="15.75" x14ac:dyDescent="0.25">
      <c r="A18" s="28" t="s">
        <v>423</v>
      </c>
      <c r="B18" s="31" t="s">
        <v>1018</v>
      </c>
      <c r="C18" s="17" t="s">
        <v>353</v>
      </c>
      <c r="D18" s="652" t="s">
        <v>134</v>
      </c>
      <c r="E18" s="653" t="s">
        <v>11</v>
      </c>
      <c r="F18" s="356" t="s">
        <v>10</v>
      </c>
      <c r="G18" s="340"/>
      <c r="H18" s="32">
        <v>22800</v>
      </c>
      <c r="I18" s="14"/>
      <c r="J18" s="14"/>
      <c r="K18" s="14"/>
      <c r="L18" s="10"/>
      <c r="M18" s="10">
        <f t="shared" si="0"/>
        <v>22800</v>
      </c>
      <c r="N18" s="22"/>
      <c r="O18" s="274" t="s">
        <v>57</v>
      </c>
      <c r="P18" s="61">
        <f t="shared" si="1"/>
        <v>22800</v>
      </c>
    </row>
    <row r="19" spans="1:16" s="12" customFormat="1" ht="15.75" x14ac:dyDescent="0.25">
      <c r="A19" s="28" t="s">
        <v>424</v>
      </c>
      <c r="B19" s="31" t="s">
        <v>354</v>
      </c>
      <c r="C19" s="17" t="s">
        <v>355</v>
      </c>
      <c r="D19" s="652" t="s">
        <v>67</v>
      </c>
      <c r="E19" s="653" t="s">
        <v>11</v>
      </c>
      <c r="F19" s="356" t="s">
        <v>10</v>
      </c>
      <c r="G19" s="340"/>
      <c r="H19" s="32">
        <f>215030+149640+82790</f>
        <v>447460</v>
      </c>
      <c r="I19" s="14"/>
      <c r="J19" s="14"/>
      <c r="K19" s="14"/>
      <c r="L19" s="10"/>
      <c r="M19" s="10">
        <f t="shared" si="0"/>
        <v>447460</v>
      </c>
      <c r="N19" s="22"/>
      <c r="O19" s="274" t="s">
        <v>311</v>
      </c>
      <c r="P19" s="61">
        <f t="shared" si="1"/>
        <v>447460</v>
      </c>
    </row>
    <row r="20" spans="1:16" s="12" customFormat="1" ht="15.75" x14ac:dyDescent="0.25">
      <c r="A20" s="28" t="s">
        <v>22</v>
      </c>
      <c r="B20" s="31" t="s">
        <v>357</v>
      </c>
      <c r="C20" s="17" t="s">
        <v>380</v>
      </c>
      <c r="D20" s="652" t="s">
        <v>67</v>
      </c>
      <c r="E20" s="653" t="s">
        <v>11</v>
      </c>
      <c r="F20" s="356" t="s">
        <v>10</v>
      </c>
      <c r="G20" s="340"/>
      <c r="H20" s="32">
        <f>128440+129890+153600+26530</f>
        <v>438460</v>
      </c>
      <c r="I20" s="14"/>
      <c r="J20" s="14"/>
      <c r="K20" s="14"/>
      <c r="L20" s="10"/>
      <c r="M20" s="10">
        <f t="shared" si="0"/>
        <v>438460</v>
      </c>
      <c r="N20" s="22"/>
      <c r="O20" s="274" t="s">
        <v>364</v>
      </c>
      <c r="P20" s="61">
        <f t="shared" si="1"/>
        <v>438460</v>
      </c>
    </row>
    <row r="21" spans="1:16" s="12" customFormat="1" ht="15.75" x14ac:dyDescent="0.25">
      <c r="A21" s="28" t="s">
        <v>425</v>
      </c>
      <c r="B21" s="31" t="s">
        <v>372</v>
      </c>
      <c r="C21" s="370" t="s">
        <v>374</v>
      </c>
      <c r="D21" s="652" t="s">
        <v>134</v>
      </c>
      <c r="E21" s="653" t="s">
        <v>11</v>
      </c>
      <c r="F21" s="356" t="s">
        <v>10</v>
      </c>
      <c r="G21" s="340"/>
      <c r="H21" s="32">
        <v>51950</v>
      </c>
      <c r="I21" s="14"/>
      <c r="J21" s="14"/>
      <c r="K21" s="14"/>
      <c r="L21" s="204">
        <f>'5902'!H16</f>
        <v>25400</v>
      </c>
      <c r="M21" s="10">
        <f t="shared" si="0"/>
        <v>26550</v>
      </c>
      <c r="N21" s="22"/>
      <c r="O21" s="274" t="s">
        <v>344</v>
      </c>
      <c r="P21" s="61">
        <f t="shared" si="1"/>
        <v>26550</v>
      </c>
    </row>
    <row r="22" spans="1:16" s="12" customFormat="1" ht="15.75" x14ac:dyDescent="0.25">
      <c r="A22" s="28" t="s">
        <v>426</v>
      </c>
      <c r="B22" s="31" t="s">
        <v>383</v>
      </c>
      <c r="C22" s="17" t="s">
        <v>384</v>
      </c>
      <c r="D22" s="652" t="s">
        <v>74</v>
      </c>
      <c r="E22" s="653" t="s">
        <v>11</v>
      </c>
      <c r="F22" s="356" t="s">
        <v>10</v>
      </c>
      <c r="G22" s="340"/>
      <c r="H22" s="32">
        <f>80580+107820+83810</f>
        <v>272210</v>
      </c>
      <c r="I22" s="14"/>
      <c r="J22" s="14"/>
      <c r="K22" s="14"/>
      <c r="L22" s="10"/>
      <c r="M22" s="10">
        <f t="shared" si="0"/>
        <v>272210</v>
      </c>
      <c r="N22" s="22"/>
      <c r="O22" s="274" t="s">
        <v>40</v>
      </c>
      <c r="P22" s="61">
        <f t="shared" si="1"/>
        <v>272210</v>
      </c>
    </row>
    <row r="23" spans="1:16" s="12" customFormat="1" ht="15.75" x14ac:dyDescent="0.25">
      <c r="A23" s="28" t="s">
        <v>427</v>
      </c>
      <c r="B23" s="31" t="s">
        <v>415</v>
      </c>
      <c r="C23" s="17" t="s">
        <v>416</v>
      </c>
      <c r="D23" s="652" t="s">
        <v>183</v>
      </c>
      <c r="E23" s="653" t="s">
        <v>11</v>
      </c>
      <c r="F23" s="356" t="s">
        <v>10</v>
      </c>
      <c r="G23" s="340"/>
      <c r="H23" s="32">
        <v>99650</v>
      </c>
      <c r="I23" s="14"/>
      <c r="J23" s="14"/>
      <c r="K23" s="14"/>
      <c r="L23" s="10"/>
      <c r="M23" s="10">
        <f t="shared" si="0"/>
        <v>99650</v>
      </c>
      <c r="N23" s="22"/>
      <c r="O23" s="274" t="s">
        <v>329</v>
      </c>
      <c r="P23" s="61">
        <f t="shared" si="1"/>
        <v>99650</v>
      </c>
    </row>
    <row r="24" spans="1:16" s="12" customFormat="1" ht="15.75" x14ac:dyDescent="0.25">
      <c r="A24" s="28" t="s">
        <v>23</v>
      </c>
      <c r="B24" s="31" t="s">
        <v>415</v>
      </c>
      <c r="C24" s="17" t="s">
        <v>418</v>
      </c>
      <c r="D24" s="652" t="s">
        <v>183</v>
      </c>
      <c r="E24" s="653" t="s">
        <v>11</v>
      </c>
      <c r="F24" s="356" t="s">
        <v>10</v>
      </c>
      <c r="G24" s="340"/>
      <c r="H24" s="32">
        <f>27010+105180</f>
        <v>132190</v>
      </c>
      <c r="I24" s="14"/>
      <c r="J24" s="14"/>
      <c r="K24" s="14"/>
      <c r="L24" s="10"/>
      <c r="M24" s="10">
        <f t="shared" si="0"/>
        <v>132190</v>
      </c>
      <c r="N24" s="22"/>
      <c r="O24" s="274" t="s">
        <v>290</v>
      </c>
      <c r="P24" s="61">
        <f t="shared" si="1"/>
        <v>132190</v>
      </c>
    </row>
    <row r="25" spans="1:16" s="12" customFormat="1" ht="15.75" x14ac:dyDescent="0.25">
      <c r="A25" s="28" t="s">
        <v>428</v>
      </c>
      <c r="B25" s="31" t="s">
        <v>419</v>
      </c>
      <c r="C25" s="17" t="s">
        <v>420</v>
      </c>
      <c r="D25" s="652" t="s">
        <v>183</v>
      </c>
      <c r="E25" s="653" t="s">
        <v>11</v>
      </c>
      <c r="F25" s="356" t="s">
        <v>10</v>
      </c>
      <c r="G25" s="340"/>
      <c r="H25" s="32">
        <v>25630</v>
      </c>
      <c r="I25" s="14"/>
      <c r="J25" s="14"/>
      <c r="K25" s="14"/>
      <c r="L25" s="10"/>
      <c r="M25" s="10">
        <f t="shared" si="0"/>
        <v>25630</v>
      </c>
      <c r="N25" s="22"/>
      <c r="O25" s="274" t="s">
        <v>57</v>
      </c>
      <c r="P25" s="61">
        <f t="shared" si="1"/>
        <v>25630</v>
      </c>
    </row>
    <row r="26" spans="1:16" s="12" customFormat="1" ht="15.75" x14ac:dyDescent="0.25">
      <c r="A26" s="28" t="s">
        <v>24</v>
      </c>
      <c r="B26" s="31" t="s">
        <v>431</v>
      </c>
      <c r="C26" s="17" t="s">
        <v>433</v>
      </c>
      <c r="D26" s="652" t="s">
        <v>183</v>
      </c>
      <c r="E26" s="653" t="s">
        <v>11</v>
      </c>
      <c r="F26" s="356" t="s">
        <v>10</v>
      </c>
      <c r="G26" s="340"/>
      <c r="H26" s="32">
        <v>27350</v>
      </c>
      <c r="I26" s="14"/>
      <c r="J26" s="14"/>
      <c r="K26" s="14"/>
      <c r="L26" s="10"/>
      <c r="M26" s="10">
        <f t="shared" si="0"/>
        <v>27350</v>
      </c>
      <c r="N26" s="22"/>
      <c r="O26" s="274" t="s">
        <v>57</v>
      </c>
      <c r="P26" s="61">
        <f t="shared" si="1"/>
        <v>27350</v>
      </c>
    </row>
    <row r="27" spans="1:16" s="12" customFormat="1" ht="15.75" x14ac:dyDescent="0.25">
      <c r="A27" s="28" t="s">
        <v>25</v>
      </c>
      <c r="B27" s="31" t="s">
        <v>431</v>
      </c>
      <c r="C27" s="17" t="s">
        <v>434</v>
      </c>
      <c r="D27" s="652" t="s">
        <v>183</v>
      </c>
      <c r="E27" s="653" t="s">
        <v>11</v>
      </c>
      <c r="F27" s="356" t="s">
        <v>10</v>
      </c>
      <c r="G27" s="340"/>
      <c r="H27" s="32">
        <v>25470</v>
      </c>
      <c r="I27" s="14"/>
      <c r="J27" s="14"/>
      <c r="K27" s="14"/>
      <c r="L27" s="10"/>
      <c r="M27" s="10">
        <f t="shared" si="0"/>
        <v>25470</v>
      </c>
      <c r="N27" s="22"/>
      <c r="O27" s="274" t="s">
        <v>57</v>
      </c>
      <c r="P27" s="61">
        <f t="shared" si="1"/>
        <v>25470</v>
      </c>
    </row>
    <row r="28" spans="1:16" s="12" customFormat="1" ht="15.75" x14ac:dyDescent="0.25">
      <c r="A28" s="28" t="s">
        <v>26</v>
      </c>
      <c r="B28" s="31" t="s">
        <v>431</v>
      </c>
      <c r="C28" s="17" t="s">
        <v>435</v>
      </c>
      <c r="D28" s="652" t="s">
        <v>67</v>
      </c>
      <c r="E28" s="653" t="s">
        <v>11</v>
      </c>
      <c r="F28" s="356" t="s">
        <v>10</v>
      </c>
      <c r="G28" s="340"/>
      <c r="H28" s="32">
        <v>27470</v>
      </c>
      <c r="I28" s="14"/>
      <c r="J28" s="14"/>
      <c r="K28" s="14"/>
      <c r="L28" s="10"/>
      <c r="M28" s="10">
        <f t="shared" si="0"/>
        <v>27470</v>
      </c>
      <c r="N28" s="22"/>
      <c r="O28" s="274" t="s">
        <v>57</v>
      </c>
      <c r="P28" s="61">
        <f t="shared" si="1"/>
        <v>27470</v>
      </c>
    </row>
    <row r="29" spans="1:16" s="12" customFormat="1" ht="15.75" x14ac:dyDescent="0.25">
      <c r="A29" s="28" t="s">
        <v>27</v>
      </c>
      <c r="B29" s="31" t="s">
        <v>642</v>
      </c>
      <c r="C29" s="17" t="s">
        <v>650</v>
      </c>
      <c r="D29" s="652" t="s">
        <v>67</v>
      </c>
      <c r="E29" s="653" t="s">
        <v>11</v>
      </c>
      <c r="F29" s="356" t="s">
        <v>10</v>
      </c>
      <c r="G29" s="340"/>
      <c r="H29" s="32">
        <v>46820</v>
      </c>
      <c r="I29" s="14"/>
      <c r="J29" s="14"/>
      <c r="K29" s="14"/>
      <c r="L29" s="10"/>
      <c r="M29" s="10">
        <f t="shared" si="0"/>
        <v>46820</v>
      </c>
      <c r="N29" s="22"/>
      <c r="O29" s="274" t="s">
        <v>344</v>
      </c>
      <c r="P29" s="61">
        <f t="shared" si="1"/>
        <v>46820</v>
      </c>
    </row>
    <row r="30" spans="1:16" s="12" customFormat="1" ht="15.75" x14ac:dyDescent="0.25">
      <c r="A30" s="28" t="s">
        <v>28</v>
      </c>
      <c r="B30" s="31" t="s">
        <v>651</v>
      </c>
      <c r="C30" s="17" t="s">
        <v>653</v>
      </c>
      <c r="D30" s="652" t="s">
        <v>186</v>
      </c>
      <c r="E30" s="653" t="s">
        <v>11</v>
      </c>
      <c r="F30" s="356" t="s">
        <v>10</v>
      </c>
      <c r="G30" s="340"/>
      <c r="H30" s="32">
        <v>49820</v>
      </c>
      <c r="I30" s="14"/>
      <c r="J30" s="14"/>
      <c r="K30" s="14"/>
      <c r="L30" s="10"/>
      <c r="M30" s="14">
        <f t="shared" si="0"/>
        <v>49820</v>
      </c>
      <c r="N30" s="22"/>
      <c r="O30" s="274" t="s">
        <v>344</v>
      </c>
      <c r="P30" s="61">
        <f t="shared" si="1"/>
        <v>49820</v>
      </c>
    </row>
    <row r="31" spans="1:16" s="12" customFormat="1" ht="15.75" x14ac:dyDescent="0.25">
      <c r="A31" s="28" t="s">
        <v>29</v>
      </c>
      <c r="B31" s="31" t="s">
        <v>717</v>
      </c>
      <c r="C31" s="17" t="s">
        <v>721</v>
      </c>
      <c r="D31" s="652" t="s">
        <v>134</v>
      </c>
      <c r="E31" s="653" t="s">
        <v>11</v>
      </c>
      <c r="F31" s="356" t="s">
        <v>10</v>
      </c>
      <c r="G31" s="340"/>
      <c r="H31" s="32">
        <v>26570</v>
      </c>
      <c r="I31" s="14"/>
      <c r="J31" s="14"/>
      <c r="K31" s="14"/>
      <c r="L31" s="10"/>
      <c r="M31" s="14">
        <f t="shared" si="0"/>
        <v>26570</v>
      </c>
      <c r="N31" s="22"/>
      <c r="O31" s="274" t="s">
        <v>57</v>
      </c>
      <c r="P31" s="61">
        <f t="shared" si="1"/>
        <v>26570</v>
      </c>
    </row>
    <row r="32" spans="1:16" s="12" customFormat="1" ht="15.75" x14ac:dyDescent="0.25">
      <c r="A32" s="28" t="s">
        <v>30</v>
      </c>
      <c r="B32" s="31" t="s">
        <v>779</v>
      </c>
      <c r="C32" s="17" t="s">
        <v>780</v>
      </c>
      <c r="D32" s="652" t="s">
        <v>183</v>
      </c>
      <c r="E32" s="653" t="s">
        <v>11</v>
      </c>
      <c r="F32" s="356" t="s">
        <v>10</v>
      </c>
      <c r="G32" s="340">
        <v>248910</v>
      </c>
      <c r="H32" s="302">
        <f>125450+127600</f>
        <v>253050</v>
      </c>
      <c r="I32" s="14"/>
      <c r="J32" s="14"/>
      <c r="K32" s="14"/>
      <c r="L32" s="10"/>
      <c r="M32" s="14">
        <f t="shared" si="0"/>
        <v>253050</v>
      </c>
      <c r="N32" s="22"/>
      <c r="O32" s="274" t="s">
        <v>40</v>
      </c>
      <c r="P32" s="61">
        <f t="shared" si="1"/>
        <v>253050</v>
      </c>
    </row>
    <row r="33" spans="1:16" s="12" customFormat="1" ht="15.75" x14ac:dyDescent="0.25">
      <c r="A33" s="28" t="s">
        <v>31</v>
      </c>
      <c r="B33" s="31" t="s">
        <v>806</v>
      </c>
      <c r="C33" s="86" t="s">
        <v>810</v>
      </c>
      <c r="D33" s="652" t="s">
        <v>134</v>
      </c>
      <c r="E33" s="653" t="s">
        <v>11</v>
      </c>
      <c r="F33" s="356" t="s">
        <v>10</v>
      </c>
      <c r="G33" s="340">
        <v>519910</v>
      </c>
      <c r="H33" s="302">
        <f>199470+61060+258790</f>
        <v>519320</v>
      </c>
      <c r="I33" s="14"/>
      <c r="J33" s="14"/>
      <c r="K33" s="14"/>
      <c r="L33" s="204">
        <f>GREENTECB4!H14</f>
        <v>511720</v>
      </c>
      <c r="M33" s="14">
        <f t="shared" si="0"/>
        <v>7600</v>
      </c>
      <c r="N33" s="22"/>
      <c r="O33" s="274" t="s">
        <v>811</v>
      </c>
      <c r="P33" s="61">
        <f t="shared" si="1"/>
        <v>7600</v>
      </c>
    </row>
    <row r="34" spans="1:16" s="561" customFormat="1" ht="15.75" x14ac:dyDescent="0.25">
      <c r="A34" s="28" t="s">
        <v>194</v>
      </c>
      <c r="B34" s="500" t="s">
        <v>560</v>
      </c>
      <c r="C34" s="501" t="s">
        <v>561</v>
      </c>
      <c r="D34" s="643" t="s">
        <v>134</v>
      </c>
      <c r="E34" s="651" t="s">
        <v>54</v>
      </c>
      <c r="F34" s="648" t="s">
        <v>10</v>
      </c>
      <c r="G34" s="504"/>
      <c r="H34" s="537">
        <v>25590</v>
      </c>
      <c r="I34" s="505"/>
      <c r="J34" s="506"/>
      <c r="K34" s="507"/>
      <c r="L34" s="507"/>
      <c r="M34" s="506">
        <f t="shared" si="0"/>
        <v>25590</v>
      </c>
      <c r="N34" s="560" t="s">
        <v>57</v>
      </c>
      <c r="O34" s="559">
        <f>+H34+I34-K34</f>
        <v>25590</v>
      </c>
    </row>
    <row r="35" spans="1:16" s="561" customFormat="1" ht="15.75" x14ac:dyDescent="0.25">
      <c r="A35" s="28" t="s">
        <v>195</v>
      </c>
      <c r="B35" s="500" t="s">
        <v>549</v>
      </c>
      <c r="C35" s="501" t="s">
        <v>550</v>
      </c>
      <c r="D35" s="643" t="s">
        <v>183</v>
      </c>
      <c r="E35" s="651" t="s">
        <v>54</v>
      </c>
      <c r="F35" s="648" t="s">
        <v>10</v>
      </c>
      <c r="G35" s="504"/>
      <c r="H35" s="537">
        <f>136590+137520</f>
        <v>274110</v>
      </c>
      <c r="I35" s="505"/>
      <c r="J35" s="506"/>
      <c r="K35" s="507"/>
      <c r="L35" s="507"/>
      <c r="M35" s="506">
        <f t="shared" si="0"/>
        <v>274110</v>
      </c>
      <c r="N35" s="560" t="s">
        <v>980</v>
      </c>
      <c r="O35" s="559">
        <f>+H35+I35-K35</f>
        <v>274110</v>
      </c>
    </row>
    <row r="36" spans="1:16" s="510" customFormat="1" ht="15.75" x14ac:dyDescent="0.25">
      <c r="A36" s="28" t="s">
        <v>196</v>
      </c>
      <c r="B36" s="500" t="s">
        <v>592</v>
      </c>
      <c r="C36" s="501" t="s">
        <v>594</v>
      </c>
      <c r="D36" s="643" t="s">
        <v>183</v>
      </c>
      <c r="E36" s="651" t="s">
        <v>54</v>
      </c>
      <c r="F36" s="648" t="s">
        <v>10</v>
      </c>
      <c r="G36" s="504"/>
      <c r="H36" s="537">
        <v>105190</v>
      </c>
      <c r="I36" s="505"/>
      <c r="J36" s="506"/>
      <c r="K36" s="507"/>
      <c r="L36" s="507"/>
      <c r="M36" s="506">
        <f t="shared" si="0"/>
        <v>105190</v>
      </c>
      <c r="N36" s="508" t="s">
        <v>329</v>
      </c>
      <c r="O36" s="559">
        <f>+H36+I36-K36</f>
        <v>105190</v>
      </c>
    </row>
    <row r="37" spans="1:16" s="561" customFormat="1" ht="15.75" x14ac:dyDescent="0.25">
      <c r="A37" s="28" t="s">
        <v>197</v>
      </c>
      <c r="B37" s="500" t="s">
        <v>555</v>
      </c>
      <c r="C37" s="501" t="s">
        <v>558</v>
      </c>
      <c r="D37" s="643" t="s">
        <v>186</v>
      </c>
      <c r="E37" s="651" t="s">
        <v>54</v>
      </c>
      <c r="F37" s="648" t="s">
        <v>10</v>
      </c>
      <c r="G37" s="504"/>
      <c r="H37" s="537">
        <f>51780+105260</f>
        <v>157040</v>
      </c>
      <c r="I37" s="505"/>
      <c r="J37" s="506"/>
      <c r="K37" s="507"/>
      <c r="L37" s="507"/>
      <c r="M37" s="506">
        <f t="shared" si="0"/>
        <v>157040</v>
      </c>
      <c r="N37" s="508" t="s">
        <v>994</v>
      </c>
      <c r="O37" s="559">
        <f>+H37+I37-K37</f>
        <v>157040</v>
      </c>
    </row>
    <row r="38" spans="1:16" s="510" customFormat="1" ht="15.75" x14ac:dyDescent="0.25">
      <c r="A38" s="28" t="s">
        <v>198</v>
      </c>
      <c r="B38" s="500" t="s">
        <v>589</v>
      </c>
      <c r="C38" s="501" t="s">
        <v>591</v>
      </c>
      <c r="D38" s="643" t="s">
        <v>186</v>
      </c>
      <c r="E38" s="651" t="s">
        <v>54</v>
      </c>
      <c r="F38" s="648" t="s">
        <v>10</v>
      </c>
      <c r="G38" s="504"/>
      <c r="H38" s="537">
        <f>131030+131910</f>
        <v>262940</v>
      </c>
      <c r="I38" s="505"/>
      <c r="J38" s="506"/>
      <c r="K38" s="507"/>
      <c r="L38" s="507"/>
      <c r="M38" s="506">
        <f t="shared" si="0"/>
        <v>262940</v>
      </c>
      <c r="N38" s="508" t="s">
        <v>995</v>
      </c>
      <c r="O38" s="559">
        <f>+H38+I38-K38</f>
        <v>262940</v>
      </c>
    </row>
    <row r="39" spans="1:16" s="12" customFormat="1" ht="15.75" x14ac:dyDescent="0.25">
      <c r="A39" s="28" t="s">
        <v>199</v>
      </c>
      <c r="B39" s="31" t="s">
        <v>1026</v>
      </c>
      <c r="C39" s="17" t="s">
        <v>1025</v>
      </c>
      <c r="D39" s="652" t="s">
        <v>74</v>
      </c>
      <c r="E39" s="653" t="s">
        <v>54</v>
      </c>
      <c r="F39" s="356" t="s">
        <v>10</v>
      </c>
      <c r="G39" s="340">
        <v>496640</v>
      </c>
      <c r="H39" s="302">
        <f>159260+186380+57770+33000+59300</f>
        <v>495710</v>
      </c>
      <c r="I39" s="14"/>
      <c r="J39" s="14"/>
      <c r="K39" s="14"/>
      <c r="L39" s="10"/>
      <c r="M39" s="14">
        <f t="shared" si="0"/>
        <v>495710</v>
      </c>
      <c r="N39" s="22"/>
      <c r="O39" s="274" t="s">
        <v>1014</v>
      </c>
      <c r="P39" s="61"/>
    </row>
    <row r="40" spans="1:16" s="12" customFormat="1" ht="15.75" x14ac:dyDescent="0.25">
      <c r="A40" s="28" t="s">
        <v>201</v>
      </c>
      <c r="B40" s="31" t="s">
        <v>1066</v>
      </c>
      <c r="C40" s="17" t="s">
        <v>1067</v>
      </c>
      <c r="D40" s="652" t="s">
        <v>74</v>
      </c>
      <c r="E40" s="653" t="s">
        <v>54</v>
      </c>
      <c r="F40" s="356" t="s">
        <v>10</v>
      </c>
      <c r="G40" s="340">
        <v>80725</v>
      </c>
      <c r="H40" s="302">
        <v>79990</v>
      </c>
      <c r="I40" s="14"/>
      <c r="J40" s="14"/>
      <c r="K40" s="14"/>
      <c r="L40" s="10"/>
      <c r="M40" s="14">
        <f t="shared" si="0"/>
        <v>79990</v>
      </c>
      <c r="N40" s="22"/>
      <c r="O40" s="274" t="s">
        <v>204</v>
      </c>
      <c r="P40" s="61"/>
    </row>
    <row r="41" spans="1:16" s="12" customFormat="1" ht="15.75" x14ac:dyDescent="0.25">
      <c r="A41" s="28" t="s">
        <v>203</v>
      </c>
      <c r="B41" s="31" t="s">
        <v>1079</v>
      </c>
      <c r="C41" s="17" t="s">
        <v>1080</v>
      </c>
      <c r="D41" s="652" t="s">
        <v>74</v>
      </c>
      <c r="E41" s="653" t="s">
        <v>54</v>
      </c>
      <c r="F41" s="356" t="s">
        <v>10</v>
      </c>
      <c r="G41" s="340">
        <v>274520</v>
      </c>
      <c r="H41" s="302">
        <f>137450+137930</f>
        <v>275380</v>
      </c>
      <c r="I41" s="14"/>
      <c r="J41" s="14"/>
      <c r="K41" s="14"/>
      <c r="L41" s="10"/>
      <c r="M41" s="14">
        <f t="shared" si="0"/>
        <v>275380</v>
      </c>
      <c r="N41" s="22"/>
      <c r="O41" s="274" t="s">
        <v>40</v>
      </c>
      <c r="P41" s="61"/>
    </row>
    <row r="42" spans="1:16" s="12" customFormat="1" ht="15.75" x14ac:dyDescent="0.25">
      <c r="A42" s="28" t="s">
        <v>225</v>
      </c>
      <c r="B42" s="31" t="s">
        <v>1095</v>
      </c>
      <c r="C42" s="17" t="s">
        <v>1096</v>
      </c>
      <c r="D42" s="652" t="s">
        <v>134</v>
      </c>
      <c r="E42" s="653" t="s">
        <v>54</v>
      </c>
      <c r="F42" s="356" t="s">
        <v>10</v>
      </c>
      <c r="G42" s="340">
        <v>206830</v>
      </c>
      <c r="H42" s="302">
        <f>103830+104260</f>
        <v>208090</v>
      </c>
      <c r="I42" s="14"/>
      <c r="J42" s="14"/>
      <c r="K42" s="14"/>
      <c r="L42" s="10"/>
      <c r="M42" s="14">
        <f t="shared" si="0"/>
        <v>208090</v>
      </c>
      <c r="N42" s="22"/>
      <c r="O42" s="274" t="s">
        <v>315</v>
      </c>
      <c r="P42" s="61"/>
    </row>
    <row r="43" spans="1:16" s="12" customFormat="1" ht="15.75" x14ac:dyDescent="0.25">
      <c r="A43" s="28" t="s">
        <v>226</v>
      </c>
      <c r="B43" s="31" t="s">
        <v>1095</v>
      </c>
      <c r="C43" s="17" t="s">
        <v>1099</v>
      </c>
      <c r="D43" s="652" t="s">
        <v>134</v>
      </c>
      <c r="E43" s="653" t="s">
        <v>54</v>
      </c>
      <c r="F43" s="356" t="s">
        <v>10</v>
      </c>
      <c r="G43" s="340">
        <v>224550</v>
      </c>
      <c r="H43" s="302">
        <f>200760+25200</f>
        <v>225960</v>
      </c>
      <c r="I43" s="14"/>
      <c r="J43" s="14"/>
      <c r="K43" s="14"/>
      <c r="L43" s="10"/>
      <c r="M43" s="14">
        <f t="shared" si="0"/>
        <v>225960</v>
      </c>
      <c r="N43" s="22"/>
      <c r="O43" s="274" t="s">
        <v>332</v>
      </c>
      <c r="P43" s="61"/>
    </row>
    <row r="44" spans="1:16" s="12" customFormat="1" ht="15.75" x14ac:dyDescent="0.25">
      <c r="A44" s="28" t="s">
        <v>227</v>
      </c>
      <c r="B44" s="31" t="s">
        <v>1102</v>
      </c>
      <c r="C44" s="17" t="s">
        <v>1103</v>
      </c>
      <c r="D44" s="652" t="s">
        <v>74</v>
      </c>
      <c r="E44" s="653" t="s">
        <v>54</v>
      </c>
      <c r="F44" s="356" t="s">
        <v>10</v>
      </c>
      <c r="G44" s="340">
        <v>371910</v>
      </c>
      <c r="H44" s="302">
        <f>187490+159280+26010</f>
        <v>372780</v>
      </c>
      <c r="I44" s="14"/>
      <c r="J44" s="14"/>
      <c r="K44" s="14"/>
      <c r="L44" s="10"/>
      <c r="M44" s="14">
        <f>+H44+J44-L44</f>
        <v>372780</v>
      </c>
      <c r="N44" s="22"/>
      <c r="O44" s="274" t="s">
        <v>15</v>
      </c>
      <c r="P44" s="61"/>
    </row>
    <row r="45" spans="1:16" s="12" customFormat="1" ht="15.75" x14ac:dyDescent="0.25">
      <c r="A45" s="28" t="s">
        <v>228</v>
      </c>
      <c r="B45" s="31" t="s">
        <v>1123</v>
      </c>
      <c r="C45" s="17" t="s">
        <v>1122</v>
      </c>
      <c r="D45" s="652" t="s">
        <v>134</v>
      </c>
      <c r="E45" s="653" t="s">
        <v>54</v>
      </c>
      <c r="F45" s="356" t="s">
        <v>10</v>
      </c>
      <c r="G45" s="340">
        <v>223580</v>
      </c>
      <c r="H45" s="302">
        <f>140260+85330</f>
        <v>225590</v>
      </c>
      <c r="I45" s="14"/>
      <c r="J45" s="14"/>
      <c r="K45" s="14"/>
      <c r="L45" s="10"/>
      <c r="M45" s="14">
        <f>+H45+J45-L45</f>
        <v>225590</v>
      </c>
      <c r="N45" s="22"/>
      <c r="O45" s="274" t="s">
        <v>315</v>
      </c>
      <c r="P45" s="61"/>
    </row>
    <row r="46" spans="1:16" s="12" customFormat="1" ht="15.75" x14ac:dyDescent="0.25">
      <c r="A46" s="28" t="s">
        <v>229</v>
      </c>
      <c r="B46" s="31" t="s">
        <v>1127</v>
      </c>
      <c r="C46" s="17" t="s">
        <v>1128</v>
      </c>
      <c r="D46" s="652" t="s">
        <v>134</v>
      </c>
      <c r="E46" s="653" t="s">
        <v>54</v>
      </c>
      <c r="F46" s="356" t="s">
        <v>10</v>
      </c>
      <c r="G46" s="340">
        <v>500600</v>
      </c>
      <c r="H46" s="302">
        <f>124280+126290+149990+101620</f>
        <v>502180</v>
      </c>
      <c r="I46" s="14"/>
      <c r="J46" s="14"/>
      <c r="K46" s="14"/>
      <c r="L46" s="10"/>
      <c r="M46" s="14">
        <f t="shared" si="0"/>
        <v>502180</v>
      </c>
      <c r="N46" s="22"/>
      <c r="O46" s="274" t="s">
        <v>12</v>
      </c>
      <c r="P46" s="61"/>
    </row>
    <row r="47" spans="1:16" s="12" customFormat="1" ht="15.75" x14ac:dyDescent="0.25">
      <c r="A47" s="28" t="s">
        <v>230</v>
      </c>
      <c r="B47" s="31"/>
      <c r="C47" s="17"/>
      <c r="D47" s="652"/>
      <c r="E47" s="653" t="s">
        <v>54</v>
      </c>
      <c r="F47" s="356" t="s">
        <v>10</v>
      </c>
      <c r="G47" s="340"/>
      <c r="H47" s="373"/>
      <c r="I47" s="14"/>
      <c r="J47" s="14"/>
      <c r="K47" s="14"/>
      <c r="L47" s="10"/>
      <c r="M47" s="14">
        <f t="shared" si="0"/>
        <v>0</v>
      </c>
      <c r="N47" s="22"/>
      <c r="O47" s="274"/>
      <c r="P47" s="61"/>
    </row>
    <row r="48" spans="1:16" s="12" customFormat="1" ht="15.75" x14ac:dyDescent="0.25">
      <c r="A48" s="28" t="s">
        <v>231</v>
      </c>
      <c r="B48" s="31"/>
      <c r="C48" s="17"/>
      <c r="D48" s="652"/>
      <c r="E48" s="653" t="s">
        <v>54</v>
      </c>
      <c r="F48" s="356" t="s">
        <v>10</v>
      </c>
      <c r="G48" s="340"/>
      <c r="H48" s="373"/>
      <c r="I48" s="14"/>
      <c r="J48" s="14"/>
      <c r="K48" s="14"/>
      <c r="L48" s="10"/>
      <c r="M48" s="14">
        <f t="shared" si="0"/>
        <v>0</v>
      </c>
      <c r="N48" s="22"/>
      <c r="O48" s="274"/>
      <c r="P48" s="61"/>
    </row>
    <row r="49" spans="1:16" s="12" customFormat="1" ht="15.75" x14ac:dyDescent="0.25">
      <c r="A49" s="28" t="s">
        <v>236</v>
      </c>
      <c r="B49" s="31"/>
      <c r="C49" s="17"/>
      <c r="D49" s="652"/>
      <c r="E49" s="653" t="s">
        <v>54</v>
      </c>
      <c r="F49" s="356" t="s">
        <v>10</v>
      </c>
      <c r="G49" s="340"/>
      <c r="H49" s="373"/>
      <c r="I49" s="14"/>
      <c r="J49" s="14"/>
      <c r="K49" s="14"/>
      <c r="L49" s="10"/>
      <c r="M49" s="14">
        <f t="shared" si="0"/>
        <v>0</v>
      </c>
      <c r="N49" s="22"/>
      <c r="O49" s="274"/>
      <c r="P49" s="61"/>
    </row>
    <row r="50" spans="1:16" s="12" customFormat="1" ht="15.75" x14ac:dyDescent="0.25">
      <c r="A50" s="28" t="s">
        <v>237</v>
      </c>
      <c r="B50" s="31"/>
      <c r="C50" s="17"/>
      <c r="D50" s="652"/>
      <c r="E50" s="653" t="s">
        <v>54</v>
      </c>
      <c r="F50" s="356" t="s">
        <v>10</v>
      </c>
      <c r="G50" s="340"/>
      <c r="H50" s="373"/>
      <c r="I50" s="14"/>
      <c r="J50" s="14"/>
      <c r="K50" s="14"/>
      <c r="L50" s="10"/>
      <c r="M50" s="14">
        <f t="shared" si="0"/>
        <v>0</v>
      </c>
      <c r="N50" s="22"/>
      <c r="O50" s="274"/>
      <c r="P50" s="61"/>
    </row>
    <row r="51" spans="1:16" s="12" customFormat="1" ht="20.25" x14ac:dyDescent="0.3">
      <c r="A51" s="802" t="s">
        <v>5</v>
      </c>
      <c r="B51" s="803"/>
      <c r="C51" s="803"/>
      <c r="D51" s="803"/>
      <c r="E51" s="803"/>
      <c r="F51" s="804"/>
      <c r="G51" s="341">
        <f>SUM(G6:G50)</f>
        <v>3148175</v>
      </c>
      <c r="H51" s="66">
        <f>SUM(H6:H50)</f>
        <v>7184330</v>
      </c>
      <c r="I51" s="6">
        <f>SUM(I6:I38)</f>
        <v>0</v>
      </c>
      <c r="J51" s="6"/>
      <c r="K51" s="6">
        <f>SUM(K6:K38)</f>
        <v>0</v>
      </c>
      <c r="L51" s="6"/>
      <c r="M51" s="66">
        <f>SUM(M6:N50)</f>
        <v>6378700</v>
      </c>
      <c r="N51" s="6">
        <f>SUM(N6:N38)</f>
        <v>0</v>
      </c>
      <c r="O51" s="275"/>
      <c r="P51" s="67">
        <f>SUM(P6:P38)</f>
        <v>3168150</v>
      </c>
    </row>
    <row r="52" spans="1:16" s="12" customFormat="1" ht="20.25" x14ac:dyDescent="0.3">
      <c r="A52" s="29"/>
      <c r="B52" s="29"/>
      <c r="C52" s="18"/>
      <c r="D52" s="85"/>
      <c r="E52"/>
      <c r="F52" s="206"/>
      <c r="G52" s="331"/>
      <c r="H52" s="19"/>
      <c r="I52"/>
      <c r="J52" s="19"/>
      <c r="K52"/>
      <c r="L52" s="19"/>
      <c r="M52"/>
      <c r="N52"/>
      <c r="O52"/>
      <c r="P52" s="365"/>
    </row>
    <row r="53" spans="1:16" s="12" customFormat="1" ht="15.75" x14ac:dyDescent="0.25">
      <c r="A53" s="29"/>
      <c r="B53" s="29"/>
      <c r="C53" s="18"/>
      <c r="D53" s="85"/>
      <c r="E53"/>
      <c r="F53" s="206"/>
      <c r="G53" s="331"/>
      <c r="H53" s="34"/>
      <c r="I53" s="19"/>
      <c r="J53" s="19"/>
      <c r="K53" s="19"/>
      <c r="L53" s="19"/>
      <c r="M53" s="19"/>
      <c r="N53"/>
      <c r="O53"/>
      <c r="P53"/>
    </row>
    <row r="54" spans="1:16" s="12" customFormat="1" ht="15.75" x14ac:dyDescent="0.25">
      <c r="A54" s="29"/>
      <c r="B54" s="29"/>
      <c r="C54" s="18"/>
      <c r="D54" s="85"/>
      <c r="E54"/>
      <c r="F54" s="206"/>
      <c r="G54" s="331"/>
      <c r="H54" s="19"/>
      <c r="I54" s="19"/>
      <c r="J54" s="19"/>
      <c r="K54" s="19"/>
      <c r="L54" s="19"/>
      <c r="M54" s="19"/>
      <c r="N54"/>
      <c r="O54"/>
      <c r="P54"/>
    </row>
    <row r="55" spans="1:16" s="12" customFormat="1" ht="15.75" x14ac:dyDescent="0.25">
      <c r="A55" s="29"/>
      <c r="B55" s="29"/>
      <c r="C55" s="18"/>
      <c r="D55" s="85"/>
      <c r="E55"/>
      <c r="F55" s="206"/>
      <c r="G55" s="331"/>
      <c r="H55" s="34"/>
      <c r="I55"/>
      <c r="J55" s="19"/>
      <c r="K55" s="19"/>
      <c r="L55" s="19"/>
      <c r="M55" s="19"/>
      <c r="N55"/>
      <c r="O55"/>
      <c r="P55"/>
    </row>
    <row r="56" spans="1:16" s="12" customFormat="1" ht="15.75" x14ac:dyDescent="0.25">
      <c r="A56" s="29"/>
      <c r="B56" s="29"/>
      <c r="C56" s="18"/>
      <c r="D56" s="85"/>
      <c r="E56"/>
      <c r="F56" s="206"/>
      <c r="G56" s="331"/>
      <c r="H56" s="35"/>
      <c r="I56"/>
      <c r="J56" s="19"/>
      <c r="K56"/>
      <c r="L56" s="19"/>
      <c r="M56" s="19"/>
      <c r="N56"/>
      <c r="O56"/>
      <c r="P56"/>
    </row>
    <row r="57" spans="1:16" s="12" customFormat="1" ht="15.75" x14ac:dyDescent="0.25">
      <c r="A57" s="29"/>
      <c r="B57" s="29"/>
      <c r="C57" s="18"/>
      <c r="D57" s="85"/>
      <c r="E57"/>
      <c r="F57" s="206"/>
      <c r="G57" s="331"/>
      <c r="H57" s="19"/>
      <c r="I57"/>
      <c r="J57" s="19"/>
      <c r="K57" s="19"/>
      <c r="L57" s="19"/>
      <c r="M57" s="34"/>
      <c r="N57"/>
      <c r="O57"/>
      <c r="P57"/>
    </row>
    <row r="58" spans="1:16" s="12" customFormat="1" ht="15.75" x14ac:dyDescent="0.25">
      <c r="A58" s="29"/>
      <c r="B58" s="29"/>
      <c r="C58" s="18"/>
      <c r="D58" s="85"/>
      <c r="E58"/>
      <c r="F58" s="206"/>
      <c r="G58" s="331"/>
      <c r="H58" s="19"/>
      <c r="I58"/>
      <c r="J58" s="19"/>
      <c r="K58"/>
      <c r="L58" s="19"/>
      <c r="M58"/>
      <c r="N58"/>
      <c r="O58"/>
      <c r="P58"/>
    </row>
    <row r="59" spans="1:16" s="12" customFormat="1" ht="15.75" x14ac:dyDescent="0.25">
      <c r="A59" s="29"/>
      <c r="B59" s="29"/>
      <c r="C59" s="18"/>
      <c r="D59" s="85"/>
      <c r="E59"/>
      <c r="F59" s="206"/>
      <c r="G59" s="331"/>
      <c r="H59"/>
      <c r="I59"/>
      <c r="J59" s="19"/>
      <c r="K59"/>
      <c r="L59" s="19"/>
      <c r="M59"/>
      <c r="N59"/>
      <c r="O59"/>
      <c r="P59"/>
    </row>
    <row r="60" spans="1:16" s="12" customFormat="1" ht="15.75" x14ac:dyDescent="0.25">
      <c r="A60" s="29"/>
      <c r="B60" s="29"/>
      <c r="C60" s="18"/>
      <c r="D60" s="85"/>
      <c r="E60"/>
      <c r="F60" s="206"/>
      <c r="G60" s="331"/>
      <c r="H60"/>
      <c r="I60" s="34"/>
      <c r="J60" s="19"/>
      <c r="K60"/>
      <c r="L60" s="19"/>
      <c r="M60"/>
      <c r="N60"/>
      <c r="O60"/>
      <c r="P60"/>
    </row>
    <row r="61" spans="1:16" s="12" customFormat="1" ht="15.75" x14ac:dyDescent="0.25">
      <c r="A61" s="29"/>
      <c r="B61" s="29"/>
      <c r="C61" s="18"/>
      <c r="D61" s="85"/>
      <c r="E61"/>
      <c r="F61" s="206"/>
      <c r="G61" s="331"/>
      <c r="H61"/>
      <c r="I61"/>
      <c r="J61" s="19"/>
      <c r="K61"/>
      <c r="L61" s="19"/>
      <c r="M61"/>
      <c r="N61"/>
      <c r="O61"/>
      <c r="P61"/>
    </row>
    <row r="62" spans="1:16" s="12" customFormat="1" ht="15.75" x14ac:dyDescent="0.25">
      <c r="A62" s="29"/>
      <c r="B62" s="29"/>
      <c r="C62" s="18"/>
      <c r="D62" s="85"/>
      <c r="E62"/>
      <c r="F62" s="206"/>
      <c r="G62" s="331"/>
      <c r="H62"/>
      <c r="I62"/>
      <c r="J62" s="19"/>
      <c r="K62"/>
      <c r="L62" s="19"/>
      <c r="M62"/>
      <c r="N62"/>
      <c r="O62"/>
      <c r="P62"/>
    </row>
    <row r="63" spans="1:16" s="12" customFormat="1" ht="15.75" x14ac:dyDescent="0.25">
      <c r="A63" s="29"/>
      <c r="B63" s="29"/>
      <c r="C63" s="18"/>
      <c r="D63" s="85"/>
      <c r="E63"/>
      <c r="F63" s="206"/>
      <c r="G63" s="331"/>
      <c r="H63"/>
      <c r="I63"/>
      <c r="J63" s="19"/>
      <c r="K63"/>
      <c r="L63" s="19"/>
      <c r="M63"/>
      <c r="N63"/>
      <c r="O63"/>
      <c r="P63"/>
    </row>
    <row r="64" spans="1:16" s="12" customFormat="1" ht="15.75" x14ac:dyDescent="0.25">
      <c r="A64" s="29"/>
      <c r="B64" s="29"/>
      <c r="C64" s="18"/>
      <c r="D64" s="85"/>
      <c r="E64"/>
      <c r="F64" s="206"/>
      <c r="G64" s="331"/>
      <c r="H64"/>
      <c r="I64"/>
      <c r="J64" s="19"/>
      <c r="K64"/>
      <c r="L64" s="19"/>
      <c r="M64"/>
      <c r="N64"/>
      <c r="O64"/>
      <c r="P64"/>
    </row>
    <row r="65" spans="1:16" s="12" customFormat="1" ht="15.75" x14ac:dyDescent="0.25">
      <c r="A65" s="29"/>
      <c r="B65" s="29"/>
      <c r="C65" s="18"/>
      <c r="D65" s="85"/>
      <c r="E65"/>
      <c r="F65" s="206"/>
      <c r="G65" s="331"/>
      <c r="H65"/>
      <c r="I65"/>
      <c r="J65" s="19"/>
      <c r="K65"/>
      <c r="L65" s="19"/>
      <c r="M65"/>
      <c r="N65"/>
      <c r="O65"/>
      <c r="P65"/>
    </row>
    <row r="66" spans="1:16" s="12" customFormat="1" ht="15.75" x14ac:dyDescent="0.25">
      <c r="A66" s="29"/>
      <c r="B66" s="29"/>
      <c r="C66" s="18"/>
      <c r="D66" s="85"/>
      <c r="E66"/>
      <c r="F66" s="206"/>
      <c r="G66" s="331"/>
      <c r="H66"/>
      <c r="I66"/>
      <c r="J66" s="19"/>
      <c r="K66"/>
      <c r="L66" s="19"/>
      <c r="M66"/>
      <c r="N66"/>
      <c r="O66"/>
      <c r="P66"/>
    </row>
    <row r="67" spans="1:16" s="12" customFormat="1" ht="15.75" x14ac:dyDescent="0.25">
      <c r="A67" s="29"/>
      <c r="B67" s="29"/>
      <c r="C67" s="18"/>
      <c r="D67" s="85"/>
      <c r="E67"/>
      <c r="F67" s="206"/>
      <c r="G67" s="331"/>
      <c r="H67"/>
      <c r="I67"/>
      <c r="J67" s="19"/>
      <c r="K67"/>
      <c r="L67" s="19"/>
      <c r="M67"/>
      <c r="N67"/>
      <c r="O67"/>
      <c r="P67"/>
    </row>
    <row r="68" spans="1:16" s="4" customFormat="1" ht="20.25" x14ac:dyDescent="0.3">
      <c r="A68" s="29"/>
      <c r="B68" s="29"/>
      <c r="C68" s="18"/>
      <c r="D68" s="85"/>
      <c r="E68"/>
      <c r="F68" s="206"/>
      <c r="G68" s="331"/>
      <c r="H68"/>
      <c r="I68"/>
      <c r="J68" s="19"/>
      <c r="K68"/>
      <c r="L68" s="19"/>
      <c r="M68"/>
      <c r="N68"/>
      <c r="O68"/>
      <c r="P68"/>
    </row>
    <row r="69" spans="1:16" s="4" customFormat="1" ht="20.25" x14ac:dyDescent="0.3">
      <c r="A69" s="29"/>
      <c r="B69" s="29"/>
      <c r="C69" s="18"/>
      <c r="D69" s="85"/>
      <c r="E69"/>
      <c r="F69" s="206"/>
      <c r="G69" s="331"/>
      <c r="H69"/>
      <c r="I69"/>
      <c r="J69" s="19"/>
      <c r="K69"/>
      <c r="L69" s="19"/>
      <c r="M69"/>
      <c r="N69"/>
      <c r="O69"/>
      <c r="P69"/>
    </row>
    <row r="70" spans="1:16" s="40" customFormat="1" ht="18.75" x14ac:dyDescent="0.3">
      <c r="A70" s="29"/>
      <c r="B70" s="29"/>
      <c r="C70" s="18"/>
      <c r="D70" s="85"/>
      <c r="E70"/>
      <c r="F70" s="206"/>
      <c r="G70" s="331"/>
      <c r="H70"/>
      <c r="I70"/>
      <c r="J70" s="19"/>
      <c r="K70"/>
      <c r="L70" s="19"/>
      <c r="M70"/>
      <c r="N70"/>
      <c r="O70"/>
      <c r="P70"/>
    </row>
  </sheetData>
  <mergeCells count="5">
    <mergeCell ref="A1:P1"/>
    <mergeCell ref="M4:N4"/>
    <mergeCell ref="A51:F51"/>
    <mergeCell ref="I4:J4"/>
    <mergeCell ref="K4:L4"/>
  </mergeCells>
  <hyperlinks>
    <hyperlink ref="C21" location="'5902'!A1" display="104187647211(ONEYABJB00105902)"/>
    <hyperlink ref="C33" location="GREENTECB4!A1" display="104467453861 (GREENTECB4)"/>
    <hyperlink ref="C8" location="'8903'!A8" display="104188393961(ONEYTEMB00568903)"/>
  </hyperlinks>
  <pageMargins left="0.7" right="0.7" top="0.75" bottom="0.75" header="0.3" footer="0.3"/>
  <pageSetup scale="58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  <pageSetUpPr fitToPage="1"/>
  </sheetPr>
  <dimension ref="A1:O64"/>
  <sheetViews>
    <sheetView showGridLines="0" topLeftCell="A4" workbookViewId="0">
      <pane ySplit="1" topLeftCell="A38" activePane="bottomLeft" state="frozen"/>
      <selection activeCell="J19" sqref="J19"/>
      <selection pane="bottomLeft" activeCell="M47" sqref="M47"/>
    </sheetView>
  </sheetViews>
  <sheetFormatPr defaultRowHeight="15.75" x14ac:dyDescent="0.25"/>
  <cols>
    <col min="1" max="1" width="4.7109375" style="29" customWidth="1"/>
    <col min="2" max="2" width="14.42578125" style="29" customWidth="1"/>
    <col min="3" max="3" width="40.85546875" style="15" customWidth="1"/>
    <col min="4" max="4" width="8.28515625" style="29" customWidth="1"/>
    <col min="5" max="5" width="16.85546875" customWidth="1"/>
    <col min="6" max="6" width="7.42578125" bestFit="1" customWidth="1"/>
    <col min="7" max="7" width="14.5703125" style="34" customWidth="1"/>
    <col min="8" max="8" width="14.5703125" style="116" customWidth="1"/>
    <col min="9" max="9" width="9.7109375" style="19" customWidth="1"/>
    <col min="10" max="10" width="11.28515625" style="19" customWidth="1"/>
    <col min="11" max="11" width="9.5703125" style="19" customWidth="1"/>
    <col min="12" max="12" width="12.7109375" style="19" customWidth="1"/>
    <col min="13" max="13" width="17.5703125" style="19" customWidth="1"/>
    <col min="14" max="14" width="16.7109375" style="206" customWidth="1"/>
    <col min="15" max="15" width="16" customWidth="1"/>
  </cols>
  <sheetData>
    <row r="1" spans="1:15" ht="34.5" x14ac:dyDescent="0.45">
      <c r="A1" s="745" t="s">
        <v>63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1:15" ht="17.25" x14ac:dyDescent="0.3">
      <c r="L2" s="75" t="s">
        <v>62</v>
      </c>
      <c r="M2" s="76">
        <f ca="1">TODAY()</f>
        <v>44848</v>
      </c>
    </row>
    <row r="3" spans="1:15" s="52" customFormat="1" x14ac:dyDescent="0.25">
      <c r="A3" s="45"/>
      <c r="B3" s="45"/>
      <c r="C3" s="46"/>
      <c r="D3" s="45"/>
      <c r="E3" s="44" t="s">
        <v>43</v>
      </c>
      <c r="F3" s="47"/>
      <c r="G3" s="324"/>
      <c r="H3" s="48" t="s">
        <v>111</v>
      </c>
      <c r="I3" s="49" t="s">
        <v>110</v>
      </c>
      <c r="J3" s="50"/>
      <c r="K3" s="49"/>
      <c r="L3" s="51"/>
      <c r="N3" s="298"/>
    </row>
    <row r="4" spans="1:15" s="1" customFormat="1" ht="50.25" customHeight="1" x14ac:dyDescent="0.3">
      <c r="A4" s="746" t="s">
        <v>0</v>
      </c>
      <c r="B4" s="750" t="s">
        <v>37</v>
      </c>
      <c r="C4" s="750" t="s">
        <v>39</v>
      </c>
      <c r="D4" s="289" t="s">
        <v>64</v>
      </c>
      <c r="E4" s="36" t="s">
        <v>3</v>
      </c>
      <c r="F4" s="36" t="s">
        <v>4</v>
      </c>
      <c r="G4" s="308" t="s">
        <v>743</v>
      </c>
      <c r="H4" s="135" t="s">
        <v>6</v>
      </c>
      <c r="I4" s="752" t="s">
        <v>7</v>
      </c>
      <c r="J4" s="753"/>
      <c r="K4" s="752" t="s">
        <v>8</v>
      </c>
      <c r="L4" s="753"/>
      <c r="M4" s="136" t="s">
        <v>55</v>
      </c>
      <c r="N4" s="7" t="s">
        <v>1</v>
      </c>
      <c r="O4" s="62" t="s">
        <v>9</v>
      </c>
    </row>
    <row r="5" spans="1:15" s="1" customFormat="1" ht="15.75" customHeight="1" x14ac:dyDescent="0.3">
      <c r="A5" s="747"/>
      <c r="B5" s="751"/>
      <c r="C5" s="751"/>
      <c r="D5" s="290"/>
      <c r="E5" s="37"/>
      <c r="F5" s="37"/>
      <c r="G5" s="325" t="s">
        <v>13</v>
      </c>
      <c r="H5" s="21" t="s">
        <v>13</v>
      </c>
      <c r="I5" s="21" t="s">
        <v>51</v>
      </c>
      <c r="J5" s="21" t="s">
        <v>53</v>
      </c>
      <c r="K5" s="21" t="s">
        <v>51</v>
      </c>
      <c r="L5" s="21" t="s">
        <v>52</v>
      </c>
      <c r="M5" s="21" t="s">
        <v>13</v>
      </c>
      <c r="N5" s="7"/>
      <c r="O5" s="64" t="s">
        <v>13</v>
      </c>
    </row>
    <row r="6" spans="1:15" s="12" customFormat="1" x14ac:dyDescent="0.25">
      <c r="A6" s="28" t="s">
        <v>33</v>
      </c>
      <c r="B6" s="31" t="s">
        <v>295</v>
      </c>
      <c r="C6" s="20" t="s">
        <v>371</v>
      </c>
      <c r="D6" s="645" t="s">
        <v>67</v>
      </c>
      <c r="E6" s="649" t="s">
        <v>54</v>
      </c>
      <c r="F6" s="649" t="s">
        <v>10</v>
      </c>
      <c r="G6" s="326"/>
      <c r="H6" s="32">
        <f>55610+138930</f>
        <v>194540</v>
      </c>
      <c r="I6" s="25"/>
      <c r="J6" s="14"/>
      <c r="K6" s="5"/>
      <c r="L6" s="5"/>
      <c r="M6" s="14">
        <f t="shared" ref="M6:M41" si="0">+H6+J6-L6</f>
        <v>194540</v>
      </c>
      <c r="N6" s="317" t="s">
        <v>185</v>
      </c>
      <c r="O6" s="65">
        <f t="shared" ref="O6:O27" si="1">+H6+I6-K6</f>
        <v>194540</v>
      </c>
    </row>
    <row r="7" spans="1:15" s="3" customFormat="1" x14ac:dyDescent="0.25">
      <c r="A7" s="28" t="s">
        <v>34</v>
      </c>
      <c r="B7" s="31" t="s">
        <v>300</v>
      </c>
      <c r="C7" s="20" t="s">
        <v>370</v>
      </c>
      <c r="D7" s="645" t="s">
        <v>67</v>
      </c>
      <c r="E7" s="649" t="s">
        <v>54</v>
      </c>
      <c r="F7" s="649" t="s">
        <v>10</v>
      </c>
      <c r="G7" s="326"/>
      <c r="H7" s="32">
        <f>50210+100420+116200+33430</f>
        <v>300260</v>
      </c>
      <c r="I7" s="25"/>
      <c r="J7" s="14"/>
      <c r="K7" s="5"/>
      <c r="L7" s="5"/>
      <c r="M7" s="14">
        <f t="shared" si="0"/>
        <v>300260</v>
      </c>
      <c r="N7" s="317" t="s">
        <v>214</v>
      </c>
      <c r="O7" s="65">
        <f t="shared" si="1"/>
        <v>300260</v>
      </c>
    </row>
    <row r="8" spans="1:15" s="3" customFormat="1" x14ac:dyDescent="0.25">
      <c r="A8" s="28" t="s">
        <v>35</v>
      </c>
      <c r="B8" s="31" t="s">
        <v>309</v>
      </c>
      <c r="C8" s="20" t="s">
        <v>369</v>
      </c>
      <c r="D8" s="645" t="s">
        <v>134</v>
      </c>
      <c r="E8" s="649" t="s">
        <v>54</v>
      </c>
      <c r="F8" s="649" t="s">
        <v>10</v>
      </c>
      <c r="G8" s="326"/>
      <c r="H8" s="182">
        <f>129170+104620+129210+51090</f>
        <v>414090</v>
      </c>
      <c r="I8" s="25"/>
      <c r="J8" s="14"/>
      <c r="K8" s="5"/>
      <c r="L8" s="5"/>
      <c r="M8" s="14">
        <f t="shared" si="0"/>
        <v>414090</v>
      </c>
      <c r="N8" s="317" t="s">
        <v>317</v>
      </c>
      <c r="O8" s="65">
        <f t="shared" si="1"/>
        <v>414090</v>
      </c>
    </row>
    <row r="9" spans="1:15" s="3" customFormat="1" x14ac:dyDescent="0.25">
      <c r="A9" s="28" t="s">
        <v>36</v>
      </c>
      <c r="B9" s="31" t="s">
        <v>1017</v>
      </c>
      <c r="C9" s="20" t="s">
        <v>368</v>
      </c>
      <c r="D9" s="645"/>
      <c r="E9" s="649" t="s">
        <v>54</v>
      </c>
      <c r="F9" s="649" t="s">
        <v>10</v>
      </c>
      <c r="G9" s="326"/>
      <c r="H9" s="32">
        <f>50500+26040</f>
        <v>76540</v>
      </c>
      <c r="I9" s="25"/>
      <c r="J9" s="14"/>
      <c r="K9" s="5"/>
      <c r="L9" s="5"/>
      <c r="M9" s="14">
        <f t="shared" si="0"/>
        <v>76540</v>
      </c>
      <c r="N9" s="317" t="s">
        <v>204</v>
      </c>
      <c r="O9" s="65">
        <f t="shared" si="1"/>
        <v>76540</v>
      </c>
    </row>
    <row r="10" spans="1:15" s="3" customFormat="1" x14ac:dyDescent="0.25">
      <c r="A10" s="28" t="s">
        <v>17</v>
      </c>
      <c r="B10" s="31" t="s">
        <v>1017</v>
      </c>
      <c r="C10" s="87" t="s">
        <v>367</v>
      </c>
      <c r="D10" s="645" t="s">
        <v>134</v>
      </c>
      <c r="E10" s="649" t="s">
        <v>54</v>
      </c>
      <c r="F10" s="649" t="s">
        <v>10</v>
      </c>
      <c r="G10" s="326"/>
      <c r="H10" s="32">
        <f>75930+25060</f>
        <v>100990</v>
      </c>
      <c r="I10" s="25"/>
      <c r="J10" s="14"/>
      <c r="K10" s="5"/>
      <c r="L10" s="201">
        <f>'894C'!H14</f>
        <v>98120</v>
      </c>
      <c r="M10" s="14">
        <f t="shared" si="0"/>
        <v>2870</v>
      </c>
      <c r="N10" s="317" t="s">
        <v>329</v>
      </c>
      <c r="O10" s="65">
        <f t="shared" si="1"/>
        <v>100990</v>
      </c>
    </row>
    <row r="11" spans="1:15" s="3" customFormat="1" x14ac:dyDescent="0.25">
      <c r="A11" s="28" t="s">
        <v>18</v>
      </c>
      <c r="B11" s="31" t="s">
        <v>359</v>
      </c>
      <c r="C11" s="20" t="s">
        <v>366</v>
      </c>
      <c r="D11" s="645" t="s">
        <v>74</v>
      </c>
      <c r="E11" s="649" t="s">
        <v>54</v>
      </c>
      <c r="F11" s="649" t="s">
        <v>10</v>
      </c>
      <c r="G11" s="326"/>
      <c r="H11" s="182">
        <f>83860+56360</f>
        <v>140220</v>
      </c>
      <c r="I11" s="25"/>
      <c r="J11" s="14"/>
      <c r="K11" s="5"/>
      <c r="L11" s="5"/>
      <c r="M11" s="14">
        <f t="shared" si="0"/>
        <v>140220</v>
      </c>
      <c r="N11" s="317" t="s">
        <v>290</v>
      </c>
      <c r="O11" s="65">
        <f t="shared" si="1"/>
        <v>140220</v>
      </c>
    </row>
    <row r="12" spans="1:15" s="3" customFormat="1" x14ac:dyDescent="0.25">
      <c r="A12" s="28" t="s">
        <v>19</v>
      </c>
      <c r="B12" s="31" t="s">
        <v>372</v>
      </c>
      <c r="C12" s="20" t="s">
        <v>373</v>
      </c>
      <c r="D12" s="645" t="s">
        <v>74</v>
      </c>
      <c r="E12" s="649" t="s">
        <v>54</v>
      </c>
      <c r="F12" s="649" t="s">
        <v>10</v>
      </c>
      <c r="G12" s="326"/>
      <c r="H12" s="32">
        <v>26070</v>
      </c>
      <c r="I12" s="25"/>
      <c r="J12" s="14"/>
      <c r="K12" s="5"/>
      <c r="L12" s="5"/>
      <c r="M12" s="14">
        <f t="shared" si="0"/>
        <v>26070</v>
      </c>
      <c r="N12" s="317" t="s">
        <v>57</v>
      </c>
      <c r="O12" s="65">
        <f t="shared" si="1"/>
        <v>26070</v>
      </c>
    </row>
    <row r="13" spans="1:15" s="3" customFormat="1" x14ac:dyDescent="0.25">
      <c r="A13" s="28" t="s">
        <v>20</v>
      </c>
      <c r="B13" s="31" t="s">
        <v>395</v>
      </c>
      <c r="C13" s="20" t="s">
        <v>396</v>
      </c>
      <c r="D13" s="645" t="s">
        <v>67</v>
      </c>
      <c r="E13" s="649" t="s">
        <v>54</v>
      </c>
      <c r="F13" s="649" t="s">
        <v>10</v>
      </c>
      <c r="G13" s="326"/>
      <c r="H13" s="182">
        <f>51830+155790</f>
        <v>207620</v>
      </c>
      <c r="I13" s="25"/>
      <c r="J13" s="14"/>
      <c r="K13" s="5"/>
      <c r="L13" s="5"/>
      <c r="M13" s="14">
        <f t="shared" si="0"/>
        <v>207620</v>
      </c>
      <c r="N13" s="317" t="s">
        <v>44</v>
      </c>
      <c r="O13" s="65">
        <f t="shared" si="1"/>
        <v>207620</v>
      </c>
    </row>
    <row r="14" spans="1:15" s="3" customFormat="1" x14ac:dyDescent="0.25">
      <c r="A14" s="28" t="s">
        <v>387</v>
      </c>
      <c r="B14" s="31" t="s">
        <v>401</v>
      </c>
      <c r="C14" s="20" t="s">
        <v>404</v>
      </c>
      <c r="D14" s="645" t="s">
        <v>183</v>
      </c>
      <c r="E14" s="649" t="s">
        <v>54</v>
      </c>
      <c r="F14" s="649" t="s">
        <v>10</v>
      </c>
      <c r="G14" s="326"/>
      <c r="H14" s="32">
        <f>72230+92870+119170+47470</f>
        <v>331740</v>
      </c>
      <c r="I14" s="25"/>
      <c r="J14" s="14"/>
      <c r="K14" s="5"/>
      <c r="L14" s="5"/>
      <c r="M14" s="14">
        <f t="shared" si="0"/>
        <v>331740</v>
      </c>
      <c r="N14" s="317" t="s">
        <v>15</v>
      </c>
      <c r="O14" s="65">
        <f t="shared" si="1"/>
        <v>331740</v>
      </c>
    </row>
    <row r="15" spans="1:15" s="3" customFormat="1" x14ac:dyDescent="0.25">
      <c r="A15" s="28" t="s">
        <v>21</v>
      </c>
      <c r="B15" s="31" t="s">
        <v>412</v>
      </c>
      <c r="C15" s="20" t="s">
        <v>414</v>
      </c>
      <c r="D15" s="645" t="s">
        <v>183</v>
      </c>
      <c r="E15" s="649" t="s">
        <v>54</v>
      </c>
      <c r="F15" s="649" t="s">
        <v>10</v>
      </c>
      <c r="G15" s="326"/>
      <c r="H15" s="32">
        <f>147500+125430+99520+74970+23020</f>
        <v>470440</v>
      </c>
      <c r="I15" s="25"/>
      <c r="J15" s="14"/>
      <c r="K15" s="5"/>
      <c r="L15" s="5"/>
      <c r="M15" s="14">
        <f t="shared" si="0"/>
        <v>470440</v>
      </c>
      <c r="N15" s="317" t="s">
        <v>163</v>
      </c>
      <c r="O15" s="65">
        <f t="shared" si="1"/>
        <v>470440</v>
      </c>
    </row>
    <row r="16" spans="1:15" s="3" customFormat="1" x14ac:dyDescent="0.25">
      <c r="A16" s="28" t="s">
        <v>422</v>
      </c>
      <c r="B16" s="31" t="s">
        <v>415</v>
      </c>
      <c r="C16" s="20" t="s">
        <v>417</v>
      </c>
      <c r="D16" s="645" t="s">
        <v>183</v>
      </c>
      <c r="E16" s="649" t="s">
        <v>54</v>
      </c>
      <c r="F16" s="649" t="s">
        <v>10</v>
      </c>
      <c r="G16" s="326"/>
      <c r="H16" s="32">
        <f>119540+115610+94750</f>
        <v>329900</v>
      </c>
      <c r="I16" s="25"/>
      <c r="J16" s="14"/>
      <c r="K16" s="5"/>
      <c r="L16" s="5"/>
      <c r="M16" s="14">
        <f t="shared" si="0"/>
        <v>329900</v>
      </c>
      <c r="N16" s="317" t="s">
        <v>15</v>
      </c>
      <c r="O16" s="65">
        <f t="shared" si="1"/>
        <v>329900</v>
      </c>
    </row>
    <row r="17" spans="1:15" s="3" customFormat="1" x14ac:dyDescent="0.25">
      <c r="A17" s="28" t="s">
        <v>423</v>
      </c>
      <c r="B17" s="31" t="s">
        <v>419</v>
      </c>
      <c r="C17" s="20" t="s">
        <v>429</v>
      </c>
      <c r="D17" s="645" t="s">
        <v>183</v>
      </c>
      <c r="E17" s="649" t="s">
        <v>54</v>
      </c>
      <c r="F17" s="649" t="s">
        <v>10</v>
      </c>
      <c r="G17" s="326"/>
      <c r="H17" s="32">
        <f>46060+123280+142130+71880</f>
        <v>383350</v>
      </c>
      <c r="I17" s="25"/>
      <c r="J17" s="14"/>
      <c r="K17" s="5"/>
      <c r="L17" s="5"/>
      <c r="M17" s="14">
        <f t="shared" si="0"/>
        <v>383350</v>
      </c>
      <c r="N17" s="317" t="s">
        <v>317</v>
      </c>
      <c r="O17" s="65">
        <f t="shared" si="1"/>
        <v>383350</v>
      </c>
    </row>
    <row r="18" spans="1:15" s="3" customFormat="1" x14ac:dyDescent="0.25">
      <c r="A18" s="28" t="s">
        <v>424</v>
      </c>
      <c r="B18" s="31" t="s">
        <v>448</v>
      </c>
      <c r="C18" s="20" t="s">
        <v>451</v>
      </c>
      <c r="D18" s="645" t="s">
        <v>134</v>
      </c>
      <c r="E18" s="649" t="s">
        <v>54</v>
      </c>
      <c r="F18" s="649" t="s">
        <v>10</v>
      </c>
      <c r="G18" s="326"/>
      <c r="H18" s="32">
        <v>50220</v>
      </c>
      <c r="I18" s="25"/>
      <c r="J18" s="14"/>
      <c r="K18" s="5"/>
      <c r="L18" s="5"/>
      <c r="M18" s="14">
        <f t="shared" si="0"/>
        <v>50220</v>
      </c>
      <c r="N18" s="317" t="s">
        <v>344</v>
      </c>
      <c r="O18" s="65">
        <f t="shared" si="1"/>
        <v>50220</v>
      </c>
    </row>
    <row r="19" spans="1:15" s="3" customFormat="1" x14ac:dyDescent="0.25">
      <c r="A19" s="28" t="s">
        <v>22</v>
      </c>
      <c r="B19" s="31" t="s">
        <v>484</v>
      </c>
      <c r="C19" s="20" t="s">
        <v>488</v>
      </c>
      <c r="D19" s="645" t="s">
        <v>74</v>
      </c>
      <c r="E19" s="649" t="s">
        <v>54</v>
      </c>
      <c r="F19" s="649" t="s">
        <v>10</v>
      </c>
      <c r="G19" s="326"/>
      <c r="H19" s="32">
        <f>52080+75820</f>
        <v>127900</v>
      </c>
      <c r="I19" s="25"/>
      <c r="J19" s="14"/>
      <c r="K19" s="5"/>
      <c r="L19" s="5"/>
      <c r="M19" s="14">
        <f t="shared" si="0"/>
        <v>127900</v>
      </c>
      <c r="N19" s="317" t="s">
        <v>290</v>
      </c>
      <c r="O19" s="65">
        <f t="shared" si="1"/>
        <v>127900</v>
      </c>
    </row>
    <row r="20" spans="1:15" s="3" customFormat="1" x14ac:dyDescent="0.25">
      <c r="A20" s="28" t="s">
        <v>425</v>
      </c>
      <c r="B20" s="31" t="s">
        <v>494</v>
      </c>
      <c r="C20" s="20" t="s">
        <v>495</v>
      </c>
      <c r="D20" s="645" t="s">
        <v>183</v>
      </c>
      <c r="E20" s="649" t="s">
        <v>54</v>
      </c>
      <c r="F20" s="649" t="s">
        <v>10</v>
      </c>
      <c r="G20" s="326"/>
      <c r="H20" s="32">
        <v>80050</v>
      </c>
      <c r="I20" s="25"/>
      <c r="J20" s="14"/>
      <c r="K20" s="5"/>
      <c r="L20" s="5"/>
      <c r="M20" s="14">
        <f t="shared" si="0"/>
        <v>80050</v>
      </c>
      <c r="N20" s="317" t="s">
        <v>204</v>
      </c>
      <c r="O20" s="65">
        <f t="shared" si="1"/>
        <v>80050</v>
      </c>
    </row>
    <row r="21" spans="1:15" s="3" customFormat="1" x14ac:dyDescent="0.25">
      <c r="A21" s="28" t="s">
        <v>426</v>
      </c>
      <c r="B21" s="31" t="s">
        <v>520</v>
      </c>
      <c r="C21" s="20" t="s">
        <v>521</v>
      </c>
      <c r="D21" s="645" t="s">
        <v>67</v>
      </c>
      <c r="E21" s="649" t="s">
        <v>54</v>
      </c>
      <c r="F21" s="649" t="s">
        <v>10</v>
      </c>
      <c r="G21" s="326"/>
      <c r="H21" s="32">
        <f>77520+75870</f>
        <v>153390</v>
      </c>
      <c r="I21" s="25"/>
      <c r="J21" s="14"/>
      <c r="K21" s="5"/>
      <c r="L21" s="5"/>
      <c r="M21" s="14">
        <f t="shared" si="0"/>
        <v>153390</v>
      </c>
      <c r="N21" s="317" t="s">
        <v>58</v>
      </c>
      <c r="O21" s="65">
        <f t="shared" si="1"/>
        <v>153390</v>
      </c>
    </row>
    <row r="22" spans="1:15" s="3" customFormat="1" x14ac:dyDescent="0.25">
      <c r="A22" s="28" t="s">
        <v>427</v>
      </c>
      <c r="B22" s="31" t="s">
        <v>549</v>
      </c>
      <c r="C22" s="20" t="s">
        <v>553</v>
      </c>
      <c r="D22" s="645" t="s">
        <v>67</v>
      </c>
      <c r="E22" s="649" t="s">
        <v>54</v>
      </c>
      <c r="F22" s="649" t="s">
        <v>10</v>
      </c>
      <c r="G22" s="326"/>
      <c r="H22" s="32">
        <v>24270</v>
      </c>
      <c r="I22" s="25"/>
      <c r="J22" s="14"/>
      <c r="K22" s="5"/>
      <c r="L22" s="5"/>
      <c r="M22" s="14">
        <f t="shared" si="0"/>
        <v>24270</v>
      </c>
      <c r="N22" s="317" t="s">
        <v>57</v>
      </c>
      <c r="O22" s="65">
        <f t="shared" si="1"/>
        <v>24270</v>
      </c>
    </row>
    <row r="23" spans="1:15" s="3" customFormat="1" x14ac:dyDescent="0.25">
      <c r="A23" s="28" t="s">
        <v>23</v>
      </c>
      <c r="B23" s="31" t="s">
        <v>766</v>
      </c>
      <c r="C23" s="20" t="s">
        <v>767</v>
      </c>
      <c r="D23" s="645" t="s">
        <v>67</v>
      </c>
      <c r="E23" s="649" t="s">
        <v>54</v>
      </c>
      <c r="F23" s="649" t="s">
        <v>10</v>
      </c>
      <c r="G23" s="326">
        <v>540510</v>
      </c>
      <c r="H23" s="32">
        <f>134430+136210+163630+80520+27380</f>
        <v>542170</v>
      </c>
      <c r="I23" s="25"/>
      <c r="J23" s="14"/>
      <c r="K23" s="5"/>
      <c r="L23" s="5"/>
      <c r="M23" s="14">
        <f t="shared" si="0"/>
        <v>542170</v>
      </c>
      <c r="N23" s="317" t="s">
        <v>12</v>
      </c>
      <c r="O23" s="65">
        <f t="shared" si="1"/>
        <v>542170</v>
      </c>
    </row>
    <row r="24" spans="1:15" s="3" customFormat="1" x14ac:dyDescent="0.25">
      <c r="A24" s="28" t="s">
        <v>428</v>
      </c>
      <c r="B24" s="31" t="s">
        <v>768</v>
      </c>
      <c r="C24" s="20" t="s">
        <v>769</v>
      </c>
      <c r="D24" s="645" t="s">
        <v>67</v>
      </c>
      <c r="E24" s="649" t="s">
        <v>54</v>
      </c>
      <c r="F24" s="649" t="s">
        <v>10</v>
      </c>
      <c r="G24" s="326">
        <v>105050</v>
      </c>
      <c r="H24" s="32">
        <v>106410</v>
      </c>
      <c r="I24" s="25"/>
      <c r="J24" s="14"/>
      <c r="K24" s="5"/>
      <c r="L24" s="5"/>
      <c r="M24" s="14">
        <f t="shared" si="0"/>
        <v>106410</v>
      </c>
      <c r="N24" s="317" t="s">
        <v>329</v>
      </c>
      <c r="O24" s="65">
        <f t="shared" si="1"/>
        <v>106410</v>
      </c>
    </row>
    <row r="25" spans="1:15" s="3" customFormat="1" x14ac:dyDescent="0.25">
      <c r="A25" s="28" t="s">
        <v>24</v>
      </c>
      <c r="B25" s="31" t="s">
        <v>773</v>
      </c>
      <c r="C25" s="20" t="s">
        <v>778</v>
      </c>
      <c r="D25" s="645" t="s">
        <v>183</v>
      </c>
      <c r="E25" s="649" t="s">
        <v>54</v>
      </c>
      <c r="F25" s="649" t="s">
        <v>10</v>
      </c>
      <c r="G25" s="326">
        <v>248330</v>
      </c>
      <c r="H25" s="32">
        <f>98640+125380+25420</f>
        <v>249440</v>
      </c>
      <c r="I25" s="25"/>
      <c r="J25" s="14"/>
      <c r="K25" s="5"/>
      <c r="L25" s="5"/>
      <c r="M25" s="14">
        <f t="shared" si="0"/>
        <v>249440</v>
      </c>
      <c r="N25" s="317" t="s">
        <v>40</v>
      </c>
      <c r="O25" s="65">
        <f t="shared" si="1"/>
        <v>249440</v>
      </c>
    </row>
    <row r="26" spans="1:15" s="3" customFormat="1" x14ac:dyDescent="0.25">
      <c r="A26" s="28" t="s">
        <v>25</v>
      </c>
      <c r="B26" s="31" t="s">
        <v>820</v>
      </c>
      <c r="C26" s="87" t="s">
        <v>822</v>
      </c>
      <c r="D26" s="645" t="s">
        <v>67</v>
      </c>
      <c r="E26" s="649" t="s">
        <v>54</v>
      </c>
      <c r="F26" s="649" t="s">
        <v>10</v>
      </c>
      <c r="G26" s="326">
        <v>260280</v>
      </c>
      <c r="H26" s="32">
        <f>130660+130630</f>
        <v>261290</v>
      </c>
      <c r="I26" s="25"/>
      <c r="J26" s="14"/>
      <c r="K26" s="5"/>
      <c r="L26" s="201">
        <f>'4370B'!H14</f>
        <v>254300</v>
      </c>
      <c r="M26" s="14">
        <f t="shared" si="0"/>
        <v>6990</v>
      </c>
      <c r="N26" s="317" t="s">
        <v>40</v>
      </c>
      <c r="O26" s="65">
        <f t="shared" si="1"/>
        <v>261290</v>
      </c>
    </row>
    <row r="27" spans="1:15" s="3" customFormat="1" x14ac:dyDescent="0.25">
      <c r="A27" s="28" t="s">
        <v>26</v>
      </c>
      <c r="B27" s="31" t="s">
        <v>887</v>
      </c>
      <c r="C27" s="20" t="s">
        <v>890</v>
      </c>
      <c r="D27" s="645" t="s">
        <v>74</v>
      </c>
      <c r="E27" s="649" t="s">
        <v>54</v>
      </c>
      <c r="F27" s="649" t="s">
        <v>10</v>
      </c>
      <c r="G27" s="326">
        <v>219730</v>
      </c>
      <c r="H27" s="32">
        <f>54640+164890</f>
        <v>219530</v>
      </c>
      <c r="I27" s="25"/>
      <c r="J27" s="14"/>
      <c r="K27" s="5"/>
      <c r="L27" s="5"/>
      <c r="M27" s="14">
        <f t="shared" si="0"/>
        <v>219530</v>
      </c>
      <c r="N27" s="317" t="s">
        <v>315</v>
      </c>
      <c r="O27" s="65">
        <f t="shared" si="1"/>
        <v>219530</v>
      </c>
    </row>
    <row r="28" spans="1:15" s="510" customFormat="1" x14ac:dyDescent="0.25">
      <c r="A28" s="28" t="s">
        <v>27</v>
      </c>
      <c r="B28" s="500" t="s">
        <v>1015</v>
      </c>
      <c r="C28" s="501" t="s">
        <v>579</v>
      </c>
      <c r="D28" s="643" t="s">
        <v>67</v>
      </c>
      <c r="E28" s="648" t="s">
        <v>54</v>
      </c>
      <c r="F28" s="648" t="s">
        <v>10</v>
      </c>
      <c r="G28" s="504"/>
      <c r="H28" s="537">
        <v>386130</v>
      </c>
      <c r="I28" s="505"/>
      <c r="J28" s="506"/>
      <c r="K28" s="507"/>
      <c r="L28" s="507"/>
      <c r="M28" s="506">
        <f t="shared" si="0"/>
        <v>386130</v>
      </c>
      <c r="N28" s="518" t="s">
        <v>947</v>
      </c>
      <c r="O28" s="509">
        <v>386130</v>
      </c>
    </row>
    <row r="29" spans="1:15" s="510" customFormat="1" x14ac:dyDescent="0.25">
      <c r="A29" s="28" t="s">
        <v>28</v>
      </c>
      <c r="B29" s="500" t="s">
        <v>1016</v>
      </c>
      <c r="C29" s="501" t="s">
        <v>576</v>
      </c>
      <c r="D29" s="643" t="s">
        <v>74</v>
      </c>
      <c r="E29" s="648" t="s">
        <v>54</v>
      </c>
      <c r="F29" s="648" t="s">
        <v>10</v>
      </c>
      <c r="G29" s="504"/>
      <c r="H29" s="537">
        <v>25300</v>
      </c>
      <c r="I29" s="505"/>
      <c r="J29" s="506"/>
      <c r="K29" s="507"/>
      <c r="L29" s="507"/>
      <c r="M29" s="506">
        <f t="shared" si="0"/>
        <v>25300</v>
      </c>
      <c r="N29" s="518" t="s">
        <v>947</v>
      </c>
      <c r="O29" s="518" t="s">
        <v>947</v>
      </c>
    </row>
    <row r="30" spans="1:15" s="510" customFormat="1" x14ac:dyDescent="0.25">
      <c r="A30" s="28" t="s">
        <v>29</v>
      </c>
      <c r="B30" s="500" t="s">
        <v>642</v>
      </c>
      <c r="C30" s="501" t="s">
        <v>643</v>
      </c>
      <c r="D30" s="643" t="s">
        <v>67</v>
      </c>
      <c r="E30" s="648" t="s">
        <v>54</v>
      </c>
      <c r="F30" s="648" t="s">
        <v>10</v>
      </c>
      <c r="G30" s="504"/>
      <c r="H30" s="537">
        <v>55140</v>
      </c>
      <c r="I30" s="505"/>
      <c r="J30" s="506"/>
      <c r="K30" s="507"/>
      <c r="L30" s="507"/>
      <c r="M30" s="506">
        <f t="shared" si="0"/>
        <v>55140</v>
      </c>
      <c r="N30" s="518" t="s">
        <v>947</v>
      </c>
      <c r="O30" s="509">
        <v>55140</v>
      </c>
    </row>
    <row r="31" spans="1:15" s="510" customFormat="1" x14ac:dyDescent="0.25">
      <c r="A31" s="28" t="s">
        <v>30</v>
      </c>
      <c r="B31" s="500" t="s">
        <v>906</v>
      </c>
      <c r="C31" s="501" t="s">
        <v>907</v>
      </c>
      <c r="D31" s="643" t="s">
        <v>183</v>
      </c>
      <c r="E31" s="648" t="s">
        <v>54</v>
      </c>
      <c r="F31" s="648" t="s">
        <v>10</v>
      </c>
      <c r="G31" s="504">
        <v>114690</v>
      </c>
      <c r="H31" s="537">
        <v>116560</v>
      </c>
      <c r="I31" s="505"/>
      <c r="J31" s="506"/>
      <c r="K31" s="507"/>
      <c r="L31" s="507"/>
      <c r="M31" s="506">
        <f t="shared" si="0"/>
        <v>116560</v>
      </c>
      <c r="N31" s="518" t="s">
        <v>947</v>
      </c>
      <c r="O31" s="509"/>
    </row>
    <row r="32" spans="1:15" s="510" customFormat="1" x14ac:dyDescent="0.25">
      <c r="A32" s="28" t="s">
        <v>31</v>
      </c>
      <c r="B32" s="500" t="s">
        <v>595</v>
      </c>
      <c r="C32" s="501" t="s">
        <v>596</v>
      </c>
      <c r="D32" s="643" t="s">
        <v>186</v>
      </c>
      <c r="E32" s="648" t="s">
        <v>54</v>
      </c>
      <c r="F32" s="648" t="s">
        <v>10</v>
      </c>
      <c r="G32" s="504"/>
      <c r="H32" s="537">
        <f>176320+255690</f>
        <v>432010</v>
      </c>
      <c r="I32" s="505"/>
      <c r="J32" s="506"/>
      <c r="K32" s="507"/>
      <c r="L32" s="507"/>
      <c r="M32" s="506">
        <f t="shared" si="0"/>
        <v>432010</v>
      </c>
      <c r="N32" s="508" t="s">
        <v>963</v>
      </c>
      <c r="O32" s="509">
        <f>+H32+I32-K32</f>
        <v>432010</v>
      </c>
    </row>
    <row r="33" spans="1:15" s="510" customFormat="1" x14ac:dyDescent="0.25">
      <c r="A33" s="28" t="s">
        <v>192</v>
      </c>
      <c r="B33" s="500" t="s">
        <v>747</v>
      </c>
      <c r="C33" s="501" t="s">
        <v>748</v>
      </c>
      <c r="D33" s="643" t="s">
        <v>67</v>
      </c>
      <c r="E33" s="648" t="s">
        <v>54</v>
      </c>
      <c r="F33" s="648" t="s">
        <v>10</v>
      </c>
      <c r="G33" s="504">
        <v>54120</v>
      </c>
      <c r="H33" s="537">
        <v>54390</v>
      </c>
      <c r="I33" s="505"/>
      <c r="J33" s="506"/>
      <c r="K33" s="507"/>
      <c r="L33" s="507"/>
      <c r="M33" s="506">
        <f t="shared" si="0"/>
        <v>54390</v>
      </c>
      <c r="N33" s="518" t="s">
        <v>695</v>
      </c>
      <c r="O33" s="509">
        <v>54390</v>
      </c>
    </row>
    <row r="34" spans="1:15" s="510" customFormat="1" ht="19.5" x14ac:dyDescent="0.3">
      <c r="A34" s="28" t="s">
        <v>193</v>
      </c>
      <c r="B34" s="500" t="s">
        <v>916</v>
      </c>
      <c r="C34" s="619" t="s">
        <v>975</v>
      </c>
      <c r="D34" s="643" t="s">
        <v>74</v>
      </c>
      <c r="E34" s="648" t="s">
        <v>54</v>
      </c>
      <c r="F34" s="648" t="s">
        <v>10</v>
      </c>
      <c r="G34" s="539">
        <v>53040</v>
      </c>
      <c r="H34" s="597">
        <v>51870</v>
      </c>
      <c r="I34" s="505"/>
      <c r="J34" s="506"/>
      <c r="K34" s="507"/>
      <c r="L34" s="507"/>
      <c r="M34" s="506">
        <f t="shared" si="0"/>
        <v>51870</v>
      </c>
      <c r="N34" s="508" t="s">
        <v>976</v>
      </c>
      <c r="O34" s="509"/>
    </row>
    <row r="35" spans="1:15" s="510" customFormat="1" ht="19.5" x14ac:dyDescent="0.3">
      <c r="A35" s="28" t="s">
        <v>194</v>
      </c>
      <c r="B35" s="500" t="s">
        <v>592</v>
      </c>
      <c r="C35" s="501" t="s">
        <v>593</v>
      </c>
      <c r="D35" s="643" t="s">
        <v>186</v>
      </c>
      <c r="E35" s="648" t="s">
        <v>54</v>
      </c>
      <c r="F35" s="648" t="s">
        <v>10</v>
      </c>
      <c r="G35" s="539"/>
      <c r="H35" s="597">
        <v>50280</v>
      </c>
      <c r="I35" s="505"/>
      <c r="J35" s="506"/>
      <c r="K35" s="507"/>
      <c r="L35" s="507"/>
      <c r="M35" s="506">
        <f t="shared" si="0"/>
        <v>50280</v>
      </c>
      <c r="N35" s="508" t="s">
        <v>991</v>
      </c>
      <c r="O35" s="509">
        <v>50280</v>
      </c>
    </row>
    <row r="36" spans="1:15" s="510" customFormat="1" ht="19.5" x14ac:dyDescent="0.3">
      <c r="A36" s="28" t="s">
        <v>195</v>
      </c>
      <c r="B36" s="500" t="s">
        <v>589</v>
      </c>
      <c r="C36" s="501" t="s">
        <v>590</v>
      </c>
      <c r="D36" s="643" t="s">
        <v>134</v>
      </c>
      <c r="E36" s="648" t="s">
        <v>54</v>
      </c>
      <c r="F36" s="648" t="s">
        <v>10</v>
      </c>
      <c r="G36" s="539"/>
      <c r="H36" s="597">
        <v>78530</v>
      </c>
      <c r="I36" s="505"/>
      <c r="J36" s="506"/>
      <c r="K36" s="507"/>
      <c r="L36" s="507"/>
      <c r="M36" s="506">
        <f t="shared" si="0"/>
        <v>78530</v>
      </c>
      <c r="N36" s="508" t="s">
        <v>204</v>
      </c>
      <c r="O36" s="509">
        <v>78530</v>
      </c>
    </row>
    <row r="37" spans="1:15" s="510" customFormat="1" ht="19.5" x14ac:dyDescent="0.3">
      <c r="A37" s="28" t="s">
        <v>196</v>
      </c>
      <c r="B37" s="500" t="s">
        <v>603</v>
      </c>
      <c r="C37" s="501" t="s">
        <v>604</v>
      </c>
      <c r="D37" s="643" t="s">
        <v>67</v>
      </c>
      <c r="E37" s="648" t="s">
        <v>54</v>
      </c>
      <c r="F37" s="648" t="s">
        <v>10</v>
      </c>
      <c r="G37" s="539"/>
      <c r="H37" s="597">
        <v>25080</v>
      </c>
      <c r="I37" s="505"/>
      <c r="J37" s="506"/>
      <c r="K37" s="507"/>
      <c r="L37" s="507"/>
      <c r="M37" s="506">
        <f t="shared" si="0"/>
        <v>25080</v>
      </c>
      <c r="N37" s="508" t="s">
        <v>57</v>
      </c>
      <c r="O37" s="509">
        <v>25080</v>
      </c>
    </row>
    <row r="38" spans="1:15" s="510" customFormat="1" ht="19.5" x14ac:dyDescent="0.3">
      <c r="A38" s="28" t="s">
        <v>197</v>
      </c>
      <c r="B38" s="500" t="s">
        <v>597</v>
      </c>
      <c r="C38" s="501" t="s">
        <v>601</v>
      </c>
      <c r="D38" s="643" t="s">
        <v>67</v>
      </c>
      <c r="E38" s="648" t="s">
        <v>54</v>
      </c>
      <c r="F38" s="648" t="s">
        <v>10</v>
      </c>
      <c r="G38" s="539"/>
      <c r="H38" s="597">
        <v>26050</v>
      </c>
      <c r="I38" s="505"/>
      <c r="J38" s="506"/>
      <c r="K38" s="507"/>
      <c r="L38" s="507"/>
      <c r="M38" s="506">
        <f t="shared" si="0"/>
        <v>26050</v>
      </c>
      <c r="N38" s="508" t="s">
        <v>57</v>
      </c>
      <c r="O38" s="509">
        <v>26050</v>
      </c>
    </row>
    <row r="39" spans="1:15" s="510" customFormat="1" ht="18.75" x14ac:dyDescent="0.3">
      <c r="A39" s="28" t="s">
        <v>198</v>
      </c>
      <c r="B39" s="31" t="s">
        <v>1028</v>
      </c>
      <c r="C39" s="20" t="s">
        <v>1029</v>
      </c>
      <c r="D39" s="320" t="s">
        <v>134</v>
      </c>
      <c r="E39" s="9" t="s">
        <v>54</v>
      </c>
      <c r="F39" s="295" t="s">
        <v>10</v>
      </c>
      <c r="G39" s="326">
        <v>548150</v>
      </c>
      <c r="H39" s="32">
        <f>79790+161790+148340+157570</f>
        <v>547490</v>
      </c>
      <c r="I39" s="505"/>
      <c r="J39" s="506"/>
      <c r="K39" s="507"/>
      <c r="L39" s="269"/>
      <c r="M39" s="362">
        <f t="shared" si="0"/>
        <v>547490</v>
      </c>
      <c r="N39" s="274" t="s">
        <v>1014</v>
      </c>
      <c r="O39" s="509"/>
    </row>
    <row r="40" spans="1:15" s="3" customFormat="1" x14ac:dyDescent="0.25">
      <c r="A40" s="28" t="s">
        <v>192</v>
      </c>
      <c r="B40" s="31" t="s">
        <v>836</v>
      </c>
      <c r="C40" s="640" t="s">
        <v>838</v>
      </c>
      <c r="D40" s="645" t="s">
        <v>67</v>
      </c>
      <c r="E40" s="9" t="s">
        <v>54</v>
      </c>
      <c r="F40" s="9" t="s">
        <v>10</v>
      </c>
      <c r="G40" s="326">
        <v>245000</v>
      </c>
      <c r="H40" s="180">
        <f>138400+106810</f>
        <v>245210</v>
      </c>
      <c r="I40" s="25"/>
      <c r="J40" s="14"/>
      <c r="K40" s="5"/>
      <c r="L40" s="201">
        <f>'6340'!H18</f>
        <v>241320</v>
      </c>
      <c r="M40" s="14">
        <f t="shared" si="0"/>
        <v>3890</v>
      </c>
      <c r="N40" s="317" t="s">
        <v>332</v>
      </c>
      <c r="O40" s="65">
        <f>+H40+I40-K40</f>
        <v>245210</v>
      </c>
    </row>
    <row r="41" spans="1:15" s="3" customFormat="1" x14ac:dyDescent="0.25">
      <c r="A41" s="28"/>
      <c r="B41" s="31" t="s">
        <v>1059</v>
      </c>
      <c r="C41" s="20" t="s">
        <v>1061</v>
      </c>
      <c r="D41" s="645" t="s">
        <v>74</v>
      </c>
      <c r="E41" s="9" t="s">
        <v>54</v>
      </c>
      <c r="F41" s="9" t="s">
        <v>10</v>
      </c>
      <c r="G41" s="326">
        <v>266970</v>
      </c>
      <c r="H41" s="32">
        <f>26360+134820+107000</f>
        <v>268180</v>
      </c>
      <c r="I41" s="25"/>
      <c r="J41" s="14"/>
      <c r="K41" s="5"/>
      <c r="L41" s="133"/>
      <c r="M41" s="14">
        <f t="shared" si="0"/>
        <v>268180</v>
      </c>
      <c r="N41" s="317" t="s">
        <v>40</v>
      </c>
      <c r="O41" s="65"/>
    </row>
    <row r="42" spans="1:15" s="3" customFormat="1" x14ac:dyDescent="0.25">
      <c r="A42" s="28"/>
      <c r="B42" s="31"/>
      <c r="C42" s="87"/>
      <c r="D42" s="645"/>
      <c r="E42" s="9" t="s">
        <v>54</v>
      </c>
      <c r="F42" s="9" t="s">
        <v>10</v>
      </c>
      <c r="G42" s="326"/>
      <c r="H42" s="33"/>
      <c r="I42" s="25"/>
      <c r="J42" s="14"/>
      <c r="K42" s="5"/>
      <c r="L42" s="133"/>
      <c r="M42" s="14"/>
      <c r="N42" s="317"/>
      <c r="O42" s="65"/>
    </row>
    <row r="43" spans="1:15" s="3" customFormat="1" x14ac:dyDescent="0.25">
      <c r="A43" s="28"/>
      <c r="B43" s="31"/>
      <c r="C43" s="87"/>
      <c r="D43" s="645"/>
      <c r="E43" s="9" t="s">
        <v>54</v>
      </c>
      <c r="F43" s="9" t="s">
        <v>10</v>
      </c>
      <c r="G43" s="326"/>
      <c r="H43" s="33"/>
      <c r="I43" s="25"/>
      <c r="J43" s="14"/>
      <c r="K43" s="5"/>
      <c r="L43" s="133"/>
      <c r="M43" s="14"/>
      <c r="N43" s="317"/>
      <c r="O43" s="65"/>
    </row>
    <row r="44" spans="1:15" s="3" customFormat="1" x14ac:dyDescent="0.25">
      <c r="A44" s="28"/>
      <c r="B44" s="31"/>
      <c r="C44" s="87"/>
      <c r="D44" s="645"/>
      <c r="E44" s="9" t="s">
        <v>54</v>
      </c>
      <c r="F44" s="9" t="s">
        <v>10</v>
      </c>
      <c r="G44" s="326"/>
      <c r="H44" s="33"/>
      <c r="I44" s="25"/>
      <c r="J44" s="14"/>
      <c r="K44" s="5"/>
      <c r="L44" s="133"/>
      <c r="M44" s="14"/>
      <c r="N44" s="317"/>
      <c r="O44" s="65"/>
    </row>
    <row r="45" spans="1:15" s="3" customFormat="1" x14ac:dyDescent="0.25">
      <c r="A45" s="28" t="s">
        <v>200</v>
      </c>
      <c r="B45" s="31"/>
      <c r="C45" s="20"/>
      <c r="D45" s="645"/>
      <c r="E45" s="649" t="s">
        <v>54</v>
      </c>
      <c r="F45" s="649" t="s">
        <v>10</v>
      </c>
      <c r="G45" s="326"/>
      <c r="H45" s="33"/>
      <c r="I45" s="25"/>
      <c r="J45" s="14"/>
      <c r="K45" s="5"/>
      <c r="L45" s="5"/>
      <c r="M45" s="14">
        <f>+H45+J45-L45</f>
        <v>0</v>
      </c>
      <c r="N45" s="318"/>
      <c r="O45" s="65">
        <f>+H45+I45-K45</f>
        <v>0</v>
      </c>
    </row>
    <row r="46" spans="1:15" s="3" customFormat="1" ht="20.25" x14ac:dyDescent="0.3">
      <c r="A46" s="802" t="s">
        <v>5</v>
      </c>
      <c r="B46" s="803"/>
      <c r="C46" s="803"/>
      <c r="D46" s="803"/>
      <c r="E46" s="803"/>
      <c r="F46" s="804"/>
      <c r="G46" s="328">
        <f>SUM(G6:G45)</f>
        <v>2655870</v>
      </c>
      <c r="H46" s="132">
        <f>SUM(H6:H45)</f>
        <v>7152650</v>
      </c>
      <c r="I46" s="26"/>
      <c r="J46" s="6"/>
      <c r="K46" s="6"/>
      <c r="L46" s="6"/>
      <c r="M46" s="66">
        <f>SUM(M6:M45)</f>
        <v>6558910</v>
      </c>
      <c r="N46" s="318"/>
      <c r="O46" s="66">
        <f>SUM(O6:O45)</f>
        <v>6143250</v>
      </c>
    </row>
    <row r="47" spans="1:15" s="3" customFormat="1" x14ac:dyDescent="0.25">
      <c r="A47" s="29"/>
      <c r="B47" s="29"/>
      <c r="C47" s="15"/>
      <c r="D47" s="29"/>
      <c r="E47"/>
      <c r="F47"/>
      <c r="G47" s="34"/>
      <c r="H47" s="116"/>
      <c r="I47" s="19"/>
      <c r="J47" s="19"/>
      <c r="K47" s="19"/>
      <c r="L47" s="19"/>
      <c r="M47" s="19"/>
      <c r="N47" s="206"/>
      <c r="O47"/>
    </row>
    <row r="48" spans="1:15" s="3" customFormat="1" x14ac:dyDescent="0.25">
      <c r="A48" s="29"/>
      <c r="B48" s="29"/>
      <c r="C48" s="15"/>
      <c r="D48" s="29"/>
      <c r="E48"/>
      <c r="F48"/>
      <c r="G48" s="34"/>
      <c r="H48" s="116"/>
      <c r="I48" s="19"/>
      <c r="J48" s="19"/>
      <c r="K48" s="19"/>
      <c r="L48" s="19"/>
      <c r="M48" s="19"/>
      <c r="N48" s="206"/>
      <c r="O48"/>
    </row>
    <row r="49" spans="1:15" s="3" customFormat="1" x14ac:dyDescent="0.25">
      <c r="A49" s="29"/>
      <c r="B49" s="29"/>
      <c r="C49" s="15"/>
      <c r="D49" s="29"/>
      <c r="E49"/>
      <c r="F49"/>
      <c r="G49" s="34"/>
      <c r="H49" s="116"/>
      <c r="I49" s="19"/>
      <c r="J49" s="19"/>
      <c r="K49" s="19"/>
      <c r="L49" s="19"/>
      <c r="M49" s="19"/>
      <c r="N49" s="206"/>
      <c r="O49"/>
    </row>
    <row r="50" spans="1:15" s="3" customFormat="1" x14ac:dyDescent="0.25">
      <c r="A50" s="29"/>
      <c r="B50" s="29"/>
      <c r="C50" s="15"/>
      <c r="D50" s="29"/>
      <c r="E50"/>
      <c r="F50"/>
      <c r="G50" s="34"/>
      <c r="H50" s="116"/>
      <c r="I50" s="19"/>
      <c r="J50" s="19"/>
      <c r="K50" s="19"/>
      <c r="L50" s="19"/>
      <c r="M50" s="19"/>
      <c r="N50" s="206"/>
      <c r="O50"/>
    </row>
    <row r="51" spans="1:15" s="3" customFormat="1" x14ac:dyDescent="0.25">
      <c r="A51" s="29"/>
      <c r="B51" s="29"/>
      <c r="C51" s="15"/>
      <c r="D51" s="29"/>
      <c r="E51"/>
      <c r="F51"/>
      <c r="G51" s="34"/>
      <c r="H51" s="116"/>
      <c r="I51" s="19"/>
      <c r="J51" s="19"/>
      <c r="K51" s="19"/>
      <c r="L51" s="19"/>
      <c r="M51" s="19"/>
      <c r="N51" s="206"/>
      <c r="O51"/>
    </row>
    <row r="52" spans="1:15" s="3" customFormat="1" x14ac:dyDescent="0.25">
      <c r="A52" s="29"/>
      <c r="B52" s="29"/>
      <c r="C52" s="15"/>
      <c r="D52" s="29"/>
      <c r="E52"/>
      <c r="F52"/>
      <c r="G52" s="34"/>
      <c r="H52" s="116"/>
      <c r="I52" s="19"/>
      <c r="J52" s="19"/>
      <c r="K52" s="19"/>
      <c r="L52" s="19"/>
      <c r="M52" s="19"/>
      <c r="N52" s="206"/>
      <c r="O52"/>
    </row>
    <row r="53" spans="1:15" s="3" customFormat="1" x14ac:dyDescent="0.25">
      <c r="A53" s="29"/>
      <c r="B53" s="29"/>
      <c r="C53" s="15"/>
      <c r="D53" s="29"/>
      <c r="E53"/>
      <c r="F53"/>
      <c r="G53" s="34"/>
      <c r="H53" s="116"/>
      <c r="I53" s="19"/>
      <c r="J53" s="19"/>
      <c r="K53" s="19"/>
      <c r="L53" s="19"/>
      <c r="M53" s="19"/>
      <c r="N53" s="206"/>
      <c r="O53"/>
    </row>
    <row r="54" spans="1:15" s="3" customFormat="1" x14ac:dyDescent="0.25">
      <c r="A54" s="29"/>
      <c r="B54" s="29"/>
      <c r="C54" s="15"/>
      <c r="D54" s="29"/>
      <c r="E54"/>
      <c r="F54"/>
      <c r="G54" s="34"/>
      <c r="H54" s="116"/>
      <c r="I54" s="19"/>
      <c r="J54" s="19"/>
      <c r="K54" s="19"/>
      <c r="L54" s="19"/>
      <c r="M54" s="19"/>
      <c r="N54" s="206"/>
      <c r="O54"/>
    </row>
    <row r="55" spans="1:15" s="3" customFormat="1" x14ac:dyDescent="0.25">
      <c r="A55" s="29"/>
      <c r="B55" s="29"/>
      <c r="C55" s="15"/>
      <c r="D55" s="29"/>
      <c r="E55"/>
      <c r="F55"/>
      <c r="G55" s="34"/>
      <c r="H55" s="116"/>
      <c r="I55" s="19"/>
      <c r="J55" s="19"/>
      <c r="K55" s="19"/>
      <c r="L55" s="19"/>
      <c r="M55" s="19"/>
      <c r="N55" s="206"/>
      <c r="O55"/>
    </row>
    <row r="56" spans="1:15" s="3" customFormat="1" x14ac:dyDescent="0.25">
      <c r="A56" s="29"/>
      <c r="B56" s="29"/>
      <c r="C56" s="15"/>
      <c r="D56" s="29"/>
      <c r="E56"/>
      <c r="F56"/>
      <c r="G56" s="34"/>
      <c r="H56" s="116"/>
      <c r="I56" s="19"/>
      <c r="J56" s="19"/>
      <c r="K56" s="19"/>
      <c r="L56" s="19"/>
      <c r="M56" s="19"/>
      <c r="N56" s="206"/>
      <c r="O56"/>
    </row>
    <row r="57" spans="1:15" s="3" customFormat="1" x14ac:dyDescent="0.25">
      <c r="A57" s="29"/>
      <c r="B57" s="29"/>
      <c r="C57" s="15"/>
      <c r="D57" s="29"/>
      <c r="E57"/>
      <c r="F57"/>
      <c r="G57" s="34"/>
      <c r="H57" s="116"/>
      <c r="I57" s="19"/>
      <c r="J57" s="19"/>
      <c r="K57" s="19"/>
      <c r="L57" s="19"/>
      <c r="M57" s="19"/>
      <c r="N57" s="206"/>
      <c r="O57"/>
    </row>
    <row r="58" spans="1:15" s="3" customFormat="1" x14ac:dyDescent="0.25">
      <c r="A58" s="29"/>
      <c r="B58" s="29"/>
      <c r="C58" s="15"/>
      <c r="D58" s="29"/>
      <c r="E58"/>
      <c r="F58"/>
      <c r="G58" s="34"/>
      <c r="H58" s="116"/>
      <c r="I58" s="19"/>
      <c r="J58" s="19"/>
      <c r="K58" s="19"/>
      <c r="L58" s="19"/>
      <c r="M58" s="19"/>
      <c r="N58" s="206"/>
      <c r="O58"/>
    </row>
    <row r="59" spans="1:15" s="3" customFormat="1" x14ac:dyDescent="0.25">
      <c r="A59" s="29"/>
      <c r="B59" s="29"/>
      <c r="C59" s="15"/>
      <c r="D59" s="29"/>
      <c r="E59"/>
      <c r="F59"/>
      <c r="G59" s="34"/>
      <c r="H59" s="116"/>
      <c r="I59" s="19"/>
      <c r="J59" s="19"/>
      <c r="K59" s="19"/>
      <c r="L59" s="19"/>
      <c r="M59" s="19"/>
      <c r="N59" s="206"/>
      <c r="O59"/>
    </row>
    <row r="60" spans="1:15" s="3" customFormat="1" x14ac:dyDescent="0.25">
      <c r="A60" s="29"/>
      <c r="B60" s="29"/>
      <c r="C60" s="15"/>
      <c r="D60" s="29"/>
      <c r="E60"/>
      <c r="F60"/>
      <c r="G60" s="34"/>
      <c r="H60" s="116"/>
      <c r="I60" s="19"/>
      <c r="J60" s="19"/>
      <c r="K60" s="19"/>
      <c r="L60" s="19"/>
      <c r="M60" s="19"/>
      <c r="N60" s="206"/>
      <c r="O60"/>
    </row>
    <row r="61" spans="1:15" s="3" customFormat="1" x14ac:dyDescent="0.25">
      <c r="A61" s="29"/>
      <c r="B61" s="29"/>
      <c r="C61" s="15"/>
      <c r="D61" s="29"/>
      <c r="E61"/>
      <c r="F61"/>
      <c r="G61" s="34"/>
      <c r="H61" s="116"/>
      <c r="I61" s="19"/>
      <c r="J61" s="19"/>
      <c r="K61" s="19"/>
      <c r="L61" s="19"/>
      <c r="M61" s="19"/>
      <c r="N61" s="206"/>
      <c r="O61"/>
    </row>
    <row r="62" spans="1:15" s="3" customFormat="1" x14ac:dyDescent="0.25">
      <c r="A62" s="29"/>
      <c r="B62" s="29"/>
      <c r="C62" s="15"/>
      <c r="D62" s="29"/>
      <c r="E62"/>
      <c r="F62"/>
      <c r="G62" s="34"/>
      <c r="H62" s="116"/>
      <c r="I62" s="19"/>
      <c r="J62" s="19"/>
      <c r="K62" s="19"/>
      <c r="L62" s="19"/>
      <c r="M62" s="19"/>
      <c r="N62" s="206"/>
      <c r="O62"/>
    </row>
    <row r="63" spans="1:15" s="3" customFormat="1" x14ac:dyDescent="0.25">
      <c r="A63" s="29"/>
      <c r="B63" s="29"/>
      <c r="C63" s="15"/>
      <c r="D63" s="29"/>
      <c r="E63"/>
      <c r="F63"/>
      <c r="G63" s="34"/>
      <c r="H63" s="116"/>
      <c r="I63" s="19"/>
      <c r="J63" s="19"/>
      <c r="K63" s="19"/>
      <c r="L63" s="19"/>
      <c r="M63" s="19"/>
      <c r="N63" s="206"/>
      <c r="O63"/>
    </row>
    <row r="64" spans="1:15" s="4" customFormat="1" ht="20.25" x14ac:dyDescent="0.3">
      <c r="A64" s="29"/>
      <c r="B64" s="29"/>
      <c r="C64" s="15"/>
      <c r="D64" s="29"/>
      <c r="E64"/>
      <c r="F64"/>
      <c r="G64" s="34"/>
      <c r="H64" s="116"/>
      <c r="I64" s="19"/>
      <c r="J64" s="19"/>
      <c r="K64" s="19"/>
      <c r="L64" s="19"/>
      <c r="M64" s="19"/>
      <c r="N64" s="206"/>
      <c r="O64"/>
    </row>
  </sheetData>
  <mergeCells count="7">
    <mergeCell ref="A46:F46"/>
    <mergeCell ref="A1:O1"/>
    <mergeCell ref="A4:A5"/>
    <mergeCell ref="B4:B5"/>
    <mergeCell ref="C4:C5"/>
    <mergeCell ref="I4:J4"/>
    <mergeCell ref="K4:L4"/>
  </mergeCells>
  <hyperlinks>
    <hyperlink ref="C10" location="'894C'!A1" display="104189478151 (AEV0167894C)"/>
    <hyperlink ref="C26" location="'4370B'!A1" display="104503433901 (DKA0144370B)"/>
    <hyperlink ref="C40" location="'6340'!A1" display="104520872041(COSU6314216340)"/>
  </hyperlinks>
  <pageMargins left="0.7" right="0.7" top="0.75" bottom="0.75" header="0.3" footer="0.3"/>
  <pageSetup scale="5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QUẢN LÝ KHO</vt:lpstr>
      <vt:lpstr>BẮP</vt:lpstr>
      <vt:lpstr>BẮP KHO 3.2</vt:lpstr>
      <vt:lpstr>BILL ĐÃ XUẤT XONG</vt:lpstr>
      <vt:lpstr>ĐIỀU(THÁNG 10.2022)</vt:lpstr>
      <vt:lpstr>ĐIỀU KHO 1.1</vt:lpstr>
      <vt:lpstr>ĐIỀU KHO 1.2</vt:lpstr>
      <vt:lpstr>ĐIỀU KHO 1.3</vt:lpstr>
      <vt:lpstr>ĐIỀU KHO 2.1</vt:lpstr>
      <vt:lpstr>ĐIỀU KHO 2.2</vt:lpstr>
      <vt:lpstr>ĐIỀU KHO 2.3</vt:lpstr>
      <vt:lpstr>ĐIỀU KHO 3.1</vt:lpstr>
      <vt:lpstr>ĐIỀU KHO 3.2</vt:lpstr>
      <vt:lpstr>GREENTEC A6</vt:lpstr>
      <vt:lpstr>8301</vt:lpstr>
      <vt:lpstr>035G</vt:lpstr>
      <vt:lpstr>8903</vt:lpstr>
      <vt:lpstr>GREENTECB4</vt:lpstr>
      <vt:lpstr>6340</vt:lpstr>
      <vt:lpstr>4629</vt:lpstr>
      <vt:lpstr>0470</vt:lpstr>
      <vt:lpstr>7661</vt:lpstr>
      <vt:lpstr>7711</vt:lpstr>
      <vt:lpstr>2430</vt:lpstr>
      <vt:lpstr>9527</vt:lpstr>
      <vt:lpstr>6853</vt:lpstr>
      <vt:lpstr>1026</vt:lpstr>
      <vt:lpstr>9860</vt:lpstr>
      <vt:lpstr>4370B</vt:lpstr>
      <vt:lpstr>4718</vt:lpstr>
      <vt:lpstr>894C</vt:lpstr>
      <vt:lpstr>1770</vt:lpstr>
      <vt:lpstr>4924</vt:lpstr>
      <vt:lpstr>092L</vt:lpstr>
      <vt:lpstr>6811</vt:lpstr>
      <vt:lpstr>0711</vt:lpstr>
      <vt:lpstr>5902</vt:lpstr>
      <vt:lpstr>2801</vt:lpstr>
      <vt:lpstr>9011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2022-06-07T08:57:41Z</cp:lastPrinted>
  <dcterms:created xsi:type="dcterms:W3CDTF">2020-08-16T23:47:07Z</dcterms:created>
  <dcterms:modified xsi:type="dcterms:W3CDTF">2022-10-14T06:19:10Z</dcterms:modified>
</cp:coreProperties>
</file>