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embeddings/oleObject2.bin" ContentType="application/vnd.openxmlformats-officedocument.oleObject"/>
  <Override PartName="/xl/drawings/drawing5.xml" ContentType="application/vnd.openxmlformats-officedocument.drawing+xml"/>
  <Override PartName="/xl/embeddings/oleObject3.bin" ContentType="application/vnd.openxmlformats-officedocument.oleObject"/>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showInkAnnotation="0" codeName="ThisWorkbook" autoCompressPictures="0"/>
  <mc:AlternateContent xmlns:mc="http://schemas.openxmlformats.org/markup-compatibility/2006">
    <mc:Choice Requires="x15">
      <x15ac:absPath xmlns:x15ac="http://schemas.microsoft.com/office/spreadsheetml/2010/11/ac" url="T:\Finance\Accounts\Finance\R2R\ESG\Reporting\FY23 AR and Sustainability Review\"/>
    </mc:Choice>
  </mc:AlternateContent>
  <xr:revisionPtr revIDLastSave="0" documentId="8_{1E54EC0A-3A0A-4DA4-B732-41A7407DF0DB}" xr6:coauthVersionLast="47" xr6:coauthVersionMax="47" xr10:uidLastSave="{00000000-0000-0000-0000-000000000000}"/>
  <bookViews>
    <workbookView xWindow="28680" yWindow="-30" windowWidth="29040" windowHeight="17640" tabRatio="599" xr2:uid="{00000000-000D-0000-FFFF-FFFF00000000}"/>
  </bookViews>
  <sheets>
    <sheet name="Sustainability Framework" sheetId="4" r:id="rId1"/>
    <sheet name="Planet Positive " sheetId="9" r:id="rId2"/>
    <sheet name="Emissions Water &amp; Waste Detail" sheetId="8" state="hidden" r:id="rId3"/>
    <sheet name="Business Positive" sheetId="5" r:id="rId4"/>
    <sheet name="Communities Positive" sheetId="7" r:id="rId5"/>
  </sheets>
  <definedNames>
    <definedName name="Age_distribution_of_permanent_employees">'Business Positive'!$A$134</definedName>
    <definedName name="BBFootnotes">'Business Positive'!$B$297</definedName>
    <definedName name="BIFR_by_gender">'Business Positive'!$A$232</definedName>
    <definedName name="BIFR_by_segment">'Business Positive'!$A$237</definedName>
    <definedName name="BPFootnote">#REF!</definedName>
    <definedName name="Brambles_community_investment__US">'Communities Positive'!$B$23</definedName>
    <definedName name="Brambles_Injury_Frequency_Rate__BIFR">'Business Positive'!$A$227</definedName>
    <definedName name="Brambles’_recycling_efforts__excluding_reclaimed___metric_tonnes">#REF!</definedName>
    <definedName name="Customer_feedback">'Business Positive'!$B$67</definedName>
    <definedName name="Detailedemissions">'Emissions Water &amp; Waste Detail'!$B$48</definedName>
    <definedName name="DetailedGHGDetail">'Emissions Water &amp; Waste Detail'!$B$72</definedName>
    <definedName name="DetailedIntensity">'Emissions Water &amp; Waste Detail'!$B$61</definedName>
    <definedName name="DetailedktCO2e">'Emissions Water &amp; Waste Detail'!$B$50</definedName>
    <definedName name="DetailedRainwater_harvested__megalitres">'Emissions Water &amp; Waste Detail'!$B$37</definedName>
    <definedName name="DetailedWaste">'Emissions Water &amp; Waste Detail'!$B$127</definedName>
    <definedName name="DetailedWaste1">'Emissions Water &amp; Waste Detail'!$B$125</definedName>
    <definedName name="DetailedWater">'Emissions Water &amp; Waste Detail'!$B$13</definedName>
    <definedName name="DetailedWaterConsumed">'Emissions Water &amp; Waste Detail'!$B$15</definedName>
    <definedName name="DetailedWaterRecycled">'Emissions Water &amp; Waste Detail'!$B$26</definedName>
    <definedName name="Detergent_purchased_for_washing_of_pallets__RPCs_and_containers">#REF!</definedName>
    <definedName name="Education__Training_and_Development">'Business Positive'!$B$256</definedName>
    <definedName name="Education__training_and_development_days">'Business Positive'!#REF!</definedName>
    <definedName name="Emissions_intensity__kg_per_unit">#REF!</definedName>
    <definedName name="Employee_hires_by_age_group">'Business Positive'!$A$211</definedName>
    <definedName name="Employee_hires_by_gender">'Business Positive'!$A$205</definedName>
    <definedName name="Employees_by_employment_contract">'Business Positive'!$A$120</definedName>
    <definedName name="Employees_by_employment_type">'Business Positive'!$A$127</definedName>
    <definedName name="Energy_and_Emissions">#REF!</definedName>
    <definedName name="Engagement__5">'Business Positive'!$A$223</definedName>
    <definedName name="Environmental_benefits_delivered_in_customers__supply_chains__15">'Business Positive'!$A$24</definedName>
    <definedName name="FNBP_1">'Business Positive'!$B$298</definedName>
    <definedName name="FNBP_10">'Business Positive'!$B$306</definedName>
    <definedName name="FNBP_11">'Business Positive'!$B$307</definedName>
    <definedName name="FNBP_2">'Business Positive'!#REF!</definedName>
    <definedName name="FNBP_3">'Business Positive'!#REF!</definedName>
    <definedName name="FNBP_4">'Business Positive'!#REF!</definedName>
    <definedName name="FNBP_5">'Business Positive'!$B$304</definedName>
    <definedName name="FNBP_6">'Business Positive'!#REF!</definedName>
    <definedName name="FNBP_7">'Business Positive'!#REF!</definedName>
    <definedName name="FNBP_8">'Business Positive'!#REF!</definedName>
    <definedName name="FNBP_9">'Business Positive'!$B$299</definedName>
    <definedName name="FNCP_01">'Communities Positive'!#REF!</definedName>
    <definedName name="FNPB_12">'Business Positive'!$B$309</definedName>
    <definedName name="FNPP_1">#REF!</definedName>
    <definedName name="FNPP_10">#REF!</definedName>
    <definedName name="FNPP_11">#REF!</definedName>
    <definedName name="FNPP_12">#REF!</definedName>
    <definedName name="FNPP_13">#REF!</definedName>
    <definedName name="FNPP_14">#REF!</definedName>
    <definedName name="FNPP_15">#REF!</definedName>
    <definedName name="FNPP_16">#REF!</definedName>
    <definedName name="FNPP_17">#REF!</definedName>
    <definedName name="FNPP_18">#REF!</definedName>
    <definedName name="FNPP_19">#REF!</definedName>
    <definedName name="FNPP_2">#REF!</definedName>
    <definedName name="FNPP_20">#REF!</definedName>
    <definedName name="FNPP_21">#REF!</definedName>
    <definedName name="FNPP_3">#REF!</definedName>
    <definedName name="FNPP_4">#REF!</definedName>
    <definedName name="FNPP_5">#REF!</definedName>
    <definedName name="FNPP_6">#REF!</definedName>
    <definedName name="FNPP_7">#REF!</definedName>
    <definedName name="FNPP_8">#REF!</definedName>
    <definedName name="FNPP_9">#REF!</definedName>
    <definedName name="Footnotes">'Business Positive'!$B$297</definedName>
    <definedName name="General_waste__recycling_and_hazardous_waste__metric_tonnes">#REF!</definedName>
    <definedName name="GHG_generation_by_source">#REF!</definedName>
    <definedName name="Global_insights_relationship_survey">'Business Positive'!$A$68</definedName>
    <definedName name="Greenhouse_gas__GHG__emissions__detail">#REF!</definedName>
    <definedName name="Greenhouse_gas__GHG__emissions__Scope_3">#REF!</definedName>
    <definedName name="Group_employees_returning_from_parental_leave_during_the_Year_as_a_percentage_of_those_who_took_parental_leave">'Business Positive'!$A$182</definedName>
    <definedName name="Group_employees_returning_to_work_after_parental_leave_during_the_Year">'Business Positive'!#REF!</definedName>
    <definedName name="Group_employees_taking_parental_leave_during_the_Year">'Business Positive'!$A$176</definedName>
    <definedName name="Kilotonnes__kt__of_CO2_e__4___Scope_1_and_2">#REF!</definedName>
    <definedName name="Male__female_salary_ratios">'Business Positive'!$A$170</definedName>
    <definedName name="NatRes">#REF!</definedName>
    <definedName name="Number_of_employees">'Business Positive'!$A$74</definedName>
    <definedName name="Office_v_Plant_ratio__permanent_employees">'Business Positive'!$A$101</definedName>
    <definedName name="Offset_Credits_Purchased___Through_Carbon_Neutral_Pallet_Promotion__8">#REF!</definedName>
    <definedName name="People_performance____Employee_Stats__12">'Business Positive'!$B$73</definedName>
    <definedName name="Permanent_employees_by_gender__management_positions__as_at_30_June____male_female">'Business Positive'!$A$92</definedName>
    <definedName name="Permanent_employees_by_gender__total_____male_female">'Business Positive'!$A$83</definedName>
    <definedName name="Plastic_purchased_for_manufacture_of_RPCs">#REF!</definedName>
    <definedName name="Plastic_recovered_and_reused_in_manufacture_of_RPCs__metric_tonnes">#REF!</definedName>
    <definedName name="PlasticVol">#REF!</definedName>
    <definedName name="Purchase_of_Credits">#REF!</definedName>
    <definedName name="Rainwater_harvested__megalitres___16">#REF!</definedName>
    <definedName name="Renewable_Energy_Certificate_Credits_Purchased___Covering_Scope_2_emissions__9">#REF!</definedName>
    <definedName name="Sharing_and_reusing_model_performance">'Business Positive'!$B$23</definedName>
    <definedName name="Terajoules__TJ__of_energy__Scope_1_and_2">#REF!</definedName>
    <definedName name="Total_number_of_employee_hires">'Business Positive'!$A$197</definedName>
    <definedName name="Volume_of_detergent__litres">#REF!</definedName>
    <definedName name="Volume_of_plastic__tonnes">#REF!</definedName>
    <definedName name="Volume_of_wood_by_classification_and_segment_for_the_Year">#REF!</definedName>
    <definedName name="Voluntary_turnover_of_employees">'Business Positive'!$A$188</definedName>
    <definedName name="Volunteering_hours">'Communities Positive'!$B$33</definedName>
    <definedName name="Waste_and_recycling">#REF!</definedName>
    <definedName name="Water">#REF!</definedName>
    <definedName name="Water_consumed__megalitres___15">#REF!</definedName>
    <definedName name="Water_discharged__megalitres___16">#REF!</definedName>
    <definedName name="Water_recycled__megalitres">#REF!</definedName>
    <definedName name="Wood_reclaimed__Pallets___metric_tonnes">#REF!</definedName>
    <definedName name="Wood_volume__m3__by_forest_source_certification">#REF!</definedName>
    <definedName name="Wood_volume_by_continent_of_origin">#REF!</definedName>
    <definedName name="WoodVol">#REF!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31" i="5" l="1"/>
  <c r="I189" i="9"/>
  <c r="K189" i="9" s="1"/>
  <c r="H189" i="9"/>
  <c r="J189" i="9" s="1"/>
  <c r="C70" i="9" l="1"/>
  <c r="C77" i="9"/>
  <c r="C101" i="9" l="1"/>
  <c r="C100" i="9"/>
  <c r="C102" i="9" l="1"/>
  <c r="C63" i="9" l="1"/>
  <c r="C35" i="9"/>
  <c r="C230" i="9" l="1"/>
  <c r="C231" i="9"/>
  <c r="C29" i="7"/>
  <c r="H271" i="5" l="1"/>
  <c r="G271" i="5"/>
  <c r="F271" i="5"/>
  <c r="E271" i="5"/>
  <c r="D271" i="5"/>
  <c r="H270" i="5"/>
  <c r="G270" i="5"/>
  <c r="F270" i="5"/>
  <c r="E270" i="5"/>
  <c r="D270" i="5"/>
  <c r="H269" i="5"/>
  <c r="G269" i="5"/>
  <c r="F269" i="5"/>
  <c r="E269" i="5"/>
  <c r="D269" i="5"/>
  <c r="H268" i="5"/>
  <c r="G268" i="5"/>
  <c r="F268" i="5"/>
  <c r="E268" i="5"/>
  <c r="D268" i="5"/>
  <c r="H267" i="5"/>
  <c r="G267" i="5"/>
  <c r="F267" i="5"/>
  <c r="E267" i="5"/>
  <c r="D267" i="5"/>
  <c r="H266" i="5"/>
  <c r="G266" i="5"/>
  <c r="F266" i="5"/>
  <c r="E266" i="5"/>
  <c r="D266" i="5"/>
  <c r="H265" i="5"/>
  <c r="G265" i="5"/>
  <c r="F265" i="5"/>
  <c r="E265" i="5"/>
  <c r="D265" i="5"/>
  <c r="H264" i="5"/>
  <c r="G264" i="5"/>
  <c r="F264" i="5"/>
  <c r="E264" i="5"/>
  <c r="D264" i="5"/>
  <c r="H263" i="5"/>
  <c r="G263" i="5"/>
  <c r="F263" i="5"/>
  <c r="E263" i="5"/>
  <c r="D263" i="5"/>
  <c r="H262" i="5"/>
  <c r="G262" i="5"/>
  <c r="F262" i="5"/>
  <c r="E262" i="5"/>
  <c r="D262" i="5"/>
  <c r="C186" i="5"/>
  <c r="C185" i="5"/>
  <c r="C184" i="5"/>
  <c r="C180" i="5"/>
  <c r="C179" i="5"/>
  <c r="C178" i="5"/>
  <c r="I39" i="5" l="1"/>
  <c r="I34" i="5"/>
  <c r="I35" i="5" s="1"/>
  <c r="C31" i="7" l="1"/>
  <c r="D13" i="7" l="1"/>
  <c r="D322" i="9"/>
  <c r="I124" i="9"/>
  <c r="H124" i="9"/>
  <c r="G124" i="9"/>
  <c r="F124" i="9"/>
  <c r="E124" i="9"/>
  <c r="D124" i="9" l="1"/>
  <c r="K157" i="9" l="1"/>
  <c r="K158" i="9"/>
  <c r="K159" i="9"/>
  <c r="K160" i="9"/>
  <c r="K161" i="9"/>
  <c r="K162" i="9"/>
  <c r="K165" i="9"/>
  <c r="K166" i="9"/>
  <c r="K167" i="9"/>
  <c r="K168" i="9"/>
  <c r="K169" i="9"/>
  <c r="K172" i="9"/>
  <c r="K173" i="9"/>
  <c r="K174" i="9"/>
  <c r="K175" i="9"/>
  <c r="K176" i="9"/>
  <c r="K180" i="9"/>
  <c r="K182" i="9"/>
  <c r="K183" i="9"/>
  <c r="K156" i="9"/>
  <c r="E104" i="5"/>
  <c r="I47" i="5"/>
  <c r="F231" i="9"/>
  <c r="E231" i="9"/>
  <c r="D231" i="9"/>
  <c r="F230" i="9"/>
  <c r="E230" i="9"/>
  <c r="D230" i="9"/>
  <c r="H230" i="9"/>
  <c r="G230" i="9"/>
  <c r="I46" i="5"/>
  <c r="D102" i="9"/>
  <c r="G274" i="9"/>
  <c r="G275" i="9"/>
  <c r="G276" i="9"/>
  <c r="G277" i="9"/>
  <c r="G278" i="9"/>
  <c r="G279" i="9"/>
  <c r="G280" i="9"/>
  <c r="G281" i="9"/>
  <c r="G282" i="9"/>
  <c r="G283" i="9"/>
  <c r="G284" i="9"/>
  <c r="G285" i="9"/>
  <c r="G288" i="9"/>
  <c r="G289" i="9"/>
  <c r="G290" i="9"/>
  <c r="G292" i="9"/>
  <c r="G293" i="9"/>
  <c r="G294" i="9"/>
  <c r="G295" i="9"/>
  <c r="G287" i="9"/>
  <c r="I152" i="9"/>
  <c r="F273" i="9"/>
  <c r="E273" i="9"/>
  <c r="D273" i="9"/>
  <c r="G261" i="9"/>
  <c r="G262" i="9"/>
  <c r="G263" i="9"/>
  <c r="G264" i="9"/>
  <c r="G265" i="9"/>
  <c r="G266" i="9"/>
  <c r="G267" i="9"/>
  <c r="G268" i="9"/>
  <c r="G269" i="9"/>
  <c r="G270" i="9"/>
  <c r="G271" i="9"/>
  <c r="G272" i="9"/>
  <c r="D204" i="9"/>
  <c r="D203" i="9"/>
  <c r="D194" i="9"/>
  <c r="D196" i="9"/>
  <c r="D202" i="9" s="1"/>
  <c r="D195" i="9"/>
  <c r="E153" i="9"/>
  <c r="E154" i="9"/>
  <c r="E155" i="9"/>
  <c r="D153" i="9"/>
  <c r="D154" i="9"/>
  <c r="D155" i="9"/>
  <c r="K152" i="9"/>
  <c r="J152" i="9"/>
  <c r="H152" i="9"/>
  <c r="G152" i="9"/>
  <c r="F152" i="9"/>
  <c r="F113" i="5"/>
  <c r="F118" i="5"/>
  <c r="F115" i="5"/>
  <c r="F116" i="5"/>
  <c r="F114" i="5"/>
  <c r="D36" i="7"/>
  <c r="D77" i="9"/>
  <c r="G260" i="9"/>
  <c r="D29" i="7"/>
  <c r="D31" i="7" s="1"/>
  <c r="F31" i="5"/>
  <c r="I43" i="5" s="1"/>
  <c r="D152" i="9" l="1"/>
  <c r="G273" i="9"/>
  <c r="E152" i="9"/>
  <c r="D197" i="9"/>
  <c r="E296" i="9"/>
  <c r="D296" i="9"/>
  <c r="E291" i="9"/>
  <c r="D291" i="9"/>
  <c r="F286" i="9"/>
  <c r="E286" i="9"/>
  <c r="D286" i="9"/>
  <c r="C242" i="9"/>
  <c r="I63" i="5" s="1"/>
  <c r="C241" i="9"/>
  <c r="I59" i="5" s="1"/>
  <c r="H231" i="9"/>
  <c r="G231" i="9"/>
  <c r="F202" i="9"/>
  <c r="G202" i="9"/>
  <c r="H202" i="9"/>
  <c r="E202" i="9"/>
  <c r="H204" i="9"/>
  <c r="G204" i="9"/>
  <c r="F204" i="9"/>
  <c r="E204" i="9"/>
  <c r="H203" i="9"/>
  <c r="G203" i="9"/>
  <c r="F203" i="9"/>
  <c r="E203" i="9"/>
  <c r="H197" i="9"/>
  <c r="G197" i="9"/>
  <c r="F197" i="9"/>
  <c r="E197" i="9"/>
  <c r="I190" i="9"/>
  <c r="K190" i="9" s="1"/>
  <c r="H190" i="9"/>
  <c r="G190" i="9"/>
  <c r="F190" i="9"/>
  <c r="E190" i="9"/>
  <c r="D190" i="9"/>
  <c r="G189" i="9"/>
  <c r="F189" i="9"/>
  <c r="E189" i="9"/>
  <c r="D189" i="9"/>
  <c r="F188" i="9"/>
  <c r="I187" i="9"/>
  <c r="K187" i="9" s="1"/>
  <c r="H187" i="9"/>
  <c r="G187" i="9"/>
  <c r="F187" i="9"/>
  <c r="G186" i="9"/>
  <c r="F186" i="9"/>
  <c r="J183" i="9"/>
  <c r="J190" i="9" s="1"/>
  <c r="J182" i="9"/>
  <c r="I181" i="9"/>
  <c r="H181" i="9"/>
  <c r="H188" i="9" s="1"/>
  <c r="G181" i="9"/>
  <c r="G178" i="9" s="1"/>
  <c r="E181" i="9"/>
  <c r="E188" i="9" s="1"/>
  <c r="D181" i="9"/>
  <c r="D188" i="9" s="1"/>
  <c r="J180" i="9"/>
  <c r="J187" i="9" s="1"/>
  <c r="E180" i="9"/>
  <c r="E187" i="9" s="1"/>
  <c r="D180" i="9"/>
  <c r="D187" i="9" s="1"/>
  <c r="I179" i="9"/>
  <c r="K179" i="9" s="1"/>
  <c r="H179" i="9"/>
  <c r="H186" i="9" s="1"/>
  <c r="E179" i="9"/>
  <c r="E186" i="9" s="1"/>
  <c r="D179" i="9"/>
  <c r="D186" i="9" s="1"/>
  <c r="F178" i="9"/>
  <c r="F177" i="9"/>
  <c r="J171" i="9"/>
  <c r="I171" i="9"/>
  <c r="H171" i="9"/>
  <c r="G171" i="9"/>
  <c r="G170" i="9" s="1"/>
  <c r="F171" i="9"/>
  <c r="F170" i="9" s="1"/>
  <c r="E171" i="9"/>
  <c r="E170" i="9" s="1"/>
  <c r="D171" i="9"/>
  <c r="D170" i="9" s="1"/>
  <c r="J170" i="9"/>
  <c r="H170" i="9"/>
  <c r="J164" i="9"/>
  <c r="I164" i="9"/>
  <c r="H164" i="9"/>
  <c r="G164" i="9"/>
  <c r="G163" i="9" s="1"/>
  <c r="F164" i="9"/>
  <c r="F163" i="9" s="1"/>
  <c r="E164" i="9"/>
  <c r="E163" i="9" s="1"/>
  <c r="D164" i="9"/>
  <c r="D163" i="9" s="1"/>
  <c r="J163" i="9"/>
  <c r="H163" i="9"/>
  <c r="E162" i="9"/>
  <c r="D162" i="9"/>
  <c r="E161" i="9"/>
  <c r="D161" i="9"/>
  <c r="E160" i="9"/>
  <c r="D160" i="9"/>
  <c r="E159" i="9"/>
  <c r="D159" i="9"/>
  <c r="E158" i="9"/>
  <c r="D158" i="9"/>
  <c r="D157" i="9"/>
  <c r="D156" i="9"/>
  <c r="G291" i="9" l="1"/>
  <c r="G296" i="9"/>
  <c r="G286" i="9"/>
  <c r="I163" i="9"/>
  <c r="K163" i="9" s="1"/>
  <c r="K164" i="9"/>
  <c r="I188" i="9"/>
  <c r="K188" i="9" s="1"/>
  <c r="K181" i="9"/>
  <c r="I170" i="9"/>
  <c r="K170" i="9" s="1"/>
  <c r="K171" i="9"/>
  <c r="H177" i="9"/>
  <c r="I178" i="9"/>
  <c r="K178" i="9" s="1"/>
  <c r="I177" i="9"/>
  <c r="K177" i="9" s="1"/>
  <c r="E157" i="9"/>
  <c r="E156" i="9" s="1"/>
  <c r="D178" i="9"/>
  <c r="I186" i="9"/>
  <c r="G188" i="9"/>
  <c r="G184" i="9" s="1"/>
  <c r="J181" i="9"/>
  <c r="J188" i="9" s="1"/>
  <c r="H178" i="9"/>
  <c r="E178" i="9"/>
  <c r="F185" i="9"/>
  <c r="D177" i="9"/>
  <c r="D185" i="9"/>
  <c r="D184" i="9"/>
  <c r="E184" i="9"/>
  <c r="E185" i="9"/>
  <c r="H185" i="9"/>
  <c r="H184" i="9"/>
  <c r="E177" i="9"/>
  <c r="F184" i="9"/>
  <c r="G177" i="9"/>
  <c r="J179" i="9"/>
  <c r="I185" i="9" l="1"/>
  <c r="K185" i="9" s="1"/>
  <c r="K186" i="9"/>
  <c r="G185" i="9"/>
  <c r="I184" i="9"/>
  <c r="K184" i="9" s="1"/>
  <c r="J186" i="9"/>
  <c r="J178" i="9"/>
  <c r="J177" i="9"/>
  <c r="J185" i="9" l="1"/>
  <c r="J184" i="9"/>
  <c r="D128" i="9" l="1"/>
  <c r="D129" i="9"/>
  <c r="D130" i="9"/>
  <c r="D131" i="9"/>
  <c r="D132" i="9"/>
  <c r="D133" i="9"/>
  <c r="F128" i="9"/>
  <c r="G128" i="9"/>
  <c r="H128" i="9"/>
  <c r="I128" i="9"/>
  <c r="F129" i="9"/>
  <c r="G129" i="9"/>
  <c r="H129" i="9"/>
  <c r="I129" i="9"/>
  <c r="F130" i="9"/>
  <c r="G130" i="9"/>
  <c r="H130" i="9"/>
  <c r="I130" i="9"/>
  <c r="F132" i="9"/>
  <c r="G132" i="9"/>
  <c r="H132" i="9"/>
  <c r="I132" i="9"/>
  <c r="E129" i="9"/>
  <c r="E130" i="9"/>
  <c r="E132" i="9"/>
  <c r="E128" i="9"/>
  <c r="I122" i="9"/>
  <c r="I133" i="9" s="1"/>
  <c r="H122" i="9"/>
  <c r="H133" i="9" s="1"/>
  <c r="G122" i="9"/>
  <c r="G133" i="9" s="1"/>
  <c r="F122" i="9"/>
  <c r="F133" i="9" s="1"/>
  <c r="E122" i="9"/>
  <c r="E133" i="9" s="1"/>
  <c r="D91" i="9"/>
  <c r="D94" i="9"/>
  <c r="D93" i="9"/>
  <c r="E77" i="9"/>
  <c r="F77" i="9"/>
  <c r="G77" i="9"/>
  <c r="H77" i="9"/>
  <c r="H70" i="9"/>
  <c r="G70" i="9"/>
  <c r="F70" i="9"/>
  <c r="E70" i="9"/>
  <c r="D70" i="9"/>
  <c r="D63" i="9"/>
  <c r="H63" i="9"/>
  <c r="G63" i="9"/>
  <c r="F63" i="9"/>
  <c r="E63" i="9"/>
  <c r="D35" i="9"/>
  <c r="H35" i="9"/>
  <c r="G35" i="9"/>
  <c r="E35" i="9"/>
  <c r="I131" i="9" l="1"/>
  <c r="E131" i="9"/>
  <c r="H131" i="9"/>
  <c r="G131" i="9"/>
  <c r="F131" i="9"/>
  <c r="D46" i="5" l="1"/>
  <c r="E31" i="7" l="1"/>
  <c r="E130" i="8" l="1"/>
  <c r="D130" i="8"/>
  <c r="H31" i="7" l="1"/>
  <c r="G31" i="7"/>
  <c r="H62" i="5" l="1"/>
  <c r="G62" i="5"/>
  <c r="G58" i="5"/>
  <c r="D62" i="5"/>
  <c r="H186" i="5" l="1"/>
  <c r="G186" i="5"/>
  <c r="H185" i="5"/>
  <c r="G185" i="5"/>
  <c r="H184" i="5"/>
  <c r="G184" i="5"/>
  <c r="H180" i="5"/>
  <c r="G180" i="5"/>
  <c r="H179" i="5"/>
  <c r="G179" i="5"/>
  <c r="H178" i="5"/>
  <c r="G178" i="5"/>
  <c r="I62" i="5" l="1"/>
  <c r="I58" i="5"/>
  <c r="I46" i="8" l="1"/>
  <c r="H46" i="8"/>
  <c r="G46" i="8"/>
  <c r="F46" i="8"/>
  <c r="D46" i="8"/>
  <c r="C46" i="8"/>
  <c r="I35" i="8"/>
  <c r="H35" i="8"/>
  <c r="G35" i="8"/>
  <c r="F35" i="8"/>
  <c r="D35" i="8"/>
  <c r="C35" i="8"/>
  <c r="D24" i="8"/>
  <c r="I24" i="8" l="1"/>
  <c r="H24" i="8"/>
  <c r="G24" i="8"/>
  <c r="F24" i="8"/>
  <c r="C24" i="8"/>
  <c r="D310" i="9" l="1"/>
</calcChain>
</file>

<file path=xl/sharedStrings.xml><?xml version="1.0" encoding="utf-8"?>
<sst xmlns="http://schemas.openxmlformats.org/spreadsheetml/2006/main" count="1577" uniqueCount="495">
  <si>
    <t>Planet Positive</t>
  </si>
  <si>
    <t>Last Updated:</t>
  </si>
  <si>
    <t>For further information on performance, please refer to the appropriate Sustainability Review and corresponding supplementary documentation</t>
  </si>
  <si>
    <t>We have divested companies' figures up until their divestment for transparency purposes in each table below</t>
  </si>
  <si>
    <t xml:space="preserve">Contents: </t>
  </si>
  <si>
    <t>Resources</t>
  </si>
  <si>
    <t>Energy &amp; Emissions</t>
  </si>
  <si>
    <t>Wood</t>
  </si>
  <si>
    <t>Kilotonnes (kt) of CO2-e and Terajoules (TJ) of Energy (Scope 1 and 2)</t>
  </si>
  <si>
    <t>Wood purchased for manufacture and repair of pallets</t>
  </si>
  <si>
    <t>MWh of energy (Scope 1 and 2)</t>
  </si>
  <si>
    <t>Volume of wood Chain of custody (CoC) certified for the year (%)</t>
  </si>
  <si>
    <t>Gigajoules of Renewable Energy (Scope 1 and 2)</t>
  </si>
  <si>
    <t>Volume of wood certified sources for the year (%)</t>
  </si>
  <si>
    <t>Emissions intensity (kg per unit)</t>
  </si>
  <si>
    <t>Volume of wood Policy compliant for the year (%)</t>
  </si>
  <si>
    <t>GHG generation by source (%)</t>
  </si>
  <si>
    <t>Wood volume (m3) with Chain of Custody (CoC) certification</t>
  </si>
  <si>
    <t xml:space="preserve">Science Based Targets Scope 3 Emissions (kt-CO2e) </t>
  </si>
  <si>
    <t>Wood volume (m3) from certified sources (not including CoC)</t>
  </si>
  <si>
    <t>Carbon Neutrality</t>
  </si>
  <si>
    <t xml:space="preserve">Wood volume (m3) Policy Compliant </t>
  </si>
  <si>
    <t>Offset Credits Purchased - Used towards Carbon Neutral Pallets</t>
  </si>
  <si>
    <t>Wood volume by continent of origin (%)</t>
  </si>
  <si>
    <t>Renewable Energy Certificate Credits Purchased towards Scope 2 Carbon Neutrality</t>
  </si>
  <si>
    <t>Reforestation/Afforestation</t>
  </si>
  <si>
    <t>Carbon Credit Offsets Purchased - towards Scope 1 Carbon Neutrality</t>
  </si>
  <si>
    <t>Plastic</t>
  </si>
  <si>
    <t>Outputs</t>
  </si>
  <si>
    <t>Detergent &amp; Palm Oil</t>
  </si>
  <si>
    <t xml:space="preserve">Waste Disposed (metric tonnes) </t>
  </si>
  <si>
    <t>Litres of detergent purchased for product washing</t>
  </si>
  <si>
    <t>Wood reclaimed (Pallets) (metric tonnes)</t>
  </si>
  <si>
    <t>Palm Oil Content</t>
  </si>
  <si>
    <t>Water</t>
  </si>
  <si>
    <t>Footnotes</t>
  </si>
  <si>
    <t>Water consumed, recycled and discharged (megalitres)</t>
  </si>
  <si>
    <t>Water consumed, recycled and discharged (million cubic litres)</t>
  </si>
  <si>
    <t>Volume of water consumed in areas of Water Stress</t>
  </si>
  <si>
    <r>
      <t>Volume of wood (m</t>
    </r>
    <r>
      <rPr>
        <b/>
        <vertAlign val="superscript"/>
        <sz val="10"/>
        <color indexed="8"/>
        <rFont val="Segoe UI"/>
        <family val="2"/>
      </rPr>
      <t>3</t>
    </r>
    <r>
      <rPr>
        <b/>
        <sz val="10"/>
        <color indexed="8"/>
        <rFont val="Segoe UI"/>
        <family val="2"/>
      </rPr>
      <t>)</t>
    </r>
  </si>
  <si>
    <t>FY23</t>
  </si>
  <si>
    <t>FY22</t>
  </si>
  <si>
    <t>FY21</t>
  </si>
  <si>
    <t>FY20</t>
  </si>
  <si>
    <t>FY19 (exc IFCO)</t>
  </si>
  <si>
    <t>FY19 (inc IFCO)</t>
  </si>
  <si>
    <t>Americas</t>
  </si>
  <si>
    <t>EMEA</t>
  </si>
  <si>
    <t>Asia-Pacific</t>
  </si>
  <si>
    <t>Total</t>
  </si>
  <si>
    <t>Regional Split</t>
  </si>
  <si>
    <r>
      <t>Wood volume (m</t>
    </r>
    <r>
      <rPr>
        <b/>
        <vertAlign val="superscript"/>
        <sz val="10"/>
        <color indexed="8"/>
        <rFont val="Segoe UI"/>
        <family val="2"/>
      </rPr>
      <t>3</t>
    </r>
    <r>
      <rPr>
        <b/>
        <sz val="10"/>
        <color indexed="8"/>
        <rFont val="Segoe UI"/>
        <family val="2"/>
      </rPr>
      <t>) with Chain of Custody (CoC) certification</t>
    </r>
  </si>
  <si>
    <r>
      <t>Wood volume (m</t>
    </r>
    <r>
      <rPr>
        <b/>
        <vertAlign val="superscript"/>
        <sz val="10"/>
        <color indexed="8"/>
        <rFont val="Segoe UI"/>
        <family val="2"/>
      </rPr>
      <t>3</t>
    </r>
    <r>
      <rPr>
        <b/>
        <sz val="10"/>
        <color indexed="8"/>
        <rFont val="Segoe UI"/>
        <family val="2"/>
      </rPr>
      <t>) from certified sources (not including CoC)</t>
    </r>
  </si>
  <si>
    <r>
      <t>Wood volume (m</t>
    </r>
    <r>
      <rPr>
        <b/>
        <vertAlign val="superscript"/>
        <sz val="10"/>
        <color indexed="8"/>
        <rFont val="Segoe UI"/>
        <family val="2"/>
      </rPr>
      <t>3</t>
    </r>
    <r>
      <rPr>
        <b/>
        <sz val="10"/>
        <color indexed="8"/>
        <rFont val="Segoe UI"/>
        <family val="2"/>
      </rPr>
      <t xml:space="preserve">) Policy Compliant </t>
    </r>
  </si>
  <si>
    <t>Europe</t>
  </si>
  <si>
    <t>Australia/ New Zealand</t>
  </si>
  <si>
    <t>South America</t>
  </si>
  <si>
    <t>Africa</t>
  </si>
  <si>
    <t>North America</t>
  </si>
  <si>
    <t>Asia</t>
  </si>
  <si>
    <t>Back to top</t>
  </si>
  <si>
    <t>Metric</t>
  </si>
  <si>
    <t>Cumulative total</t>
  </si>
  <si>
    <t>Number of trees planted through Lumber purchased from Certified Sources</t>
  </si>
  <si>
    <t>Number of trees planted through projects</t>
  </si>
  <si>
    <t xml:space="preserve">CO2 kg Sequested by trees planted through projects </t>
  </si>
  <si>
    <t>Volume of plastic purchased (tonnes)</t>
  </si>
  <si>
    <t>Virgin</t>
  </si>
  <si>
    <t>unavailable</t>
  </si>
  <si>
    <t>Recycled</t>
  </si>
  <si>
    <t>Brambles Group</t>
  </si>
  <si>
    <t>Litres</t>
  </si>
  <si>
    <t>FY18 (inc IFCO)</t>
  </si>
  <si>
    <t>Any Palm Oil contained in washing detergents</t>
  </si>
  <si>
    <t>No</t>
  </si>
  <si>
    <t>Any uncertified palm oil</t>
  </si>
  <si>
    <t>N/A</t>
  </si>
  <si>
    <t>Megalitres</t>
  </si>
  <si>
    <t>FY20 Rebased</t>
  </si>
  <si>
    <t>Withdrawal from municipal water supplies or other water utilities</t>
  </si>
  <si>
    <t>Withdrawal from fresh surface water</t>
  </si>
  <si>
    <t>Withdrawal from groundwater</t>
  </si>
  <si>
    <t>Discharged</t>
  </si>
  <si>
    <t>Rainwater</t>
  </si>
  <si>
    <t>Million cubic litres</t>
  </si>
  <si>
    <t>Water Stress</t>
  </si>
  <si>
    <t>Low (&lt;10%)</t>
  </si>
  <si>
    <t>Low - Medium (10-20%)</t>
  </si>
  <si>
    <t>Medium - High (20-40%)</t>
  </si>
  <si>
    <t>High (40-80%)</t>
  </si>
  <si>
    <t>Extremely High (&gt;80%)</t>
  </si>
  <si>
    <t>Year</t>
  </si>
  <si>
    <r>
      <t xml:space="preserve">Total of Scope 1 and Scope 2 </t>
    </r>
    <r>
      <rPr>
        <b/>
        <sz val="8"/>
        <rFont val="Segoe UI"/>
        <family val="2"/>
      </rPr>
      <t>(Market based)</t>
    </r>
  </si>
  <si>
    <t>Scope 1</t>
  </si>
  <si>
    <t>kt CO2-e</t>
  </si>
  <si>
    <t>TJ</t>
  </si>
  <si>
    <t>Group</t>
  </si>
  <si>
    <t>Pallets (total)</t>
  </si>
  <si>
    <t>Pallets Americas</t>
  </si>
  <si>
    <t xml:space="preserve">Pallets EMEA </t>
  </si>
  <si>
    <t>Pallets Asia-Pacific</t>
  </si>
  <si>
    <t>RPCs</t>
  </si>
  <si>
    <t>Corporate</t>
  </si>
  <si>
    <t>FY19</t>
  </si>
  <si>
    <t>(exc IFCO)</t>
  </si>
  <si>
    <t xml:space="preserve">FY21 </t>
  </si>
  <si>
    <t>FY20
Rebased</t>
  </si>
  <si>
    <t>a) Non-renewable Fuels</t>
  </si>
  <si>
    <t>b) Non-renewable electricity</t>
  </si>
  <si>
    <t>Total Non-Renewable Energy Consumption (A+B)</t>
  </si>
  <si>
    <t>Product Split</t>
  </si>
  <si>
    <t>Renewable Energy (wind, Solar, biomass, EACs)</t>
  </si>
  <si>
    <t>Renewable Electricity (Purchased, Generated,EACs)</t>
  </si>
  <si>
    <t>Electricity (Normal, Renewable, Generated &amp; EACs)</t>
  </si>
  <si>
    <t>Scope 1+2 Emissions intensity (kg per unit)</t>
  </si>
  <si>
    <t>FY19
(exc IFCO)</t>
  </si>
  <si>
    <t>FY19
(inc IFCO)</t>
  </si>
  <si>
    <t>Source</t>
  </si>
  <si>
    <t xml:space="preserve">Electricity </t>
  </si>
  <si>
    <t>not available</t>
  </si>
  <si>
    <t xml:space="preserve">Diesel fuel </t>
  </si>
  <si>
    <t xml:space="preserve">Natural gas </t>
  </si>
  <si>
    <t xml:space="preserve">LPG/Propane </t>
  </si>
  <si>
    <t>Motor gasoline/Petrol</t>
  </si>
  <si>
    <t xml:space="preserve">Other </t>
  </si>
  <si>
    <t>SBTi Category</t>
  </si>
  <si>
    <t>1. Purchased goods and services</t>
  </si>
  <si>
    <t>2. Capital goods *</t>
  </si>
  <si>
    <t>3. Fuel and energy related activities</t>
  </si>
  <si>
    <t>4. Upstream transportation &amp; distribution *</t>
  </si>
  <si>
    <t>5. Waste generated in operations *</t>
  </si>
  <si>
    <t>6. Business travel</t>
  </si>
  <si>
    <t>7. Employee commuting</t>
  </si>
  <si>
    <t>9. Downstream transportation &amp; distribution *</t>
  </si>
  <si>
    <t>10. Processing of sold products *</t>
  </si>
  <si>
    <t>* Included in our validated Science Based Target</t>
  </si>
  <si>
    <t>Tonnes CO2e</t>
  </si>
  <si>
    <t>Year [17]</t>
  </si>
  <si>
    <t>Energy Attribute Certificates
(EACs) MWhs</t>
  </si>
  <si>
    <t>EAC
Tonnes CO2e Offset</t>
  </si>
  <si>
    <t>Voluntary Carbon Offsets (VCOs)
Tonnes CO2e</t>
  </si>
  <si>
    <t>Total tonnes offset</t>
  </si>
  <si>
    <t>USA</t>
  </si>
  <si>
    <t>Canada</t>
  </si>
  <si>
    <t>South Africa</t>
  </si>
  <si>
    <t>Argentina</t>
  </si>
  <si>
    <t>Brazil</t>
  </si>
  <si>
    <t>Ireland</t>
  </si>
  <si>
    <t>Mexico</t>
  </si>
  <si>
    <t>Netherlands</t>
  </si>
  <si>
    <t>Thailand</t>
  </si>
  <si>
    <t>Malaysia</t>
  </si>
  <si>
    <t>Australia</t>
  </si>
  <si>
    <t>New Zealand</t>
  </si>
  <si>
    <t>Other</t>
  </si>
  <si>
    <t>Carbon Credit Offsets Applied - towards Scope 1 Carbon Neutrality</t>
  </si>
  <si>
    <t>Tonnes Waste</t>
  </si>
  <si>
    <t>Total waste recycled/reused</t>
  </si>
  <si>
    <t>Total waste disposed (excluding waste recycled/reused)</t>
  </si>
  <si>
    <t>Waste landfilled</t>
  </si>
  <si>
    <t>Waste incinerated with energy recovery</t>
  </si>
  <si>
    <t>Waste incinerated without energy recovery</t>
  </si>
  <si>
    <t xml:space="preserve">                                                     -  </t>
  </si>
  <si>
    <t>Waste otherwise (add method)</t>
  </si>
  <si>
    <t>Waste with unknown disposal method</t>
  </si>
  <si>
    <t>Data coverage (as % of operations)</t>
  </si>
  <si>
    <t>Reclaim type</t>
  </si>
  <si>
    <t>Reused in repair and manufacture of pallets - own sites</t>
  </si>
  <si>
    <t>Reused in repair and manufacture of pallets - outsourced service centres</t>
  </si>
  <si>
    <t xml:space="preserve"> unavailable </t>
  </si>
  <si>
    <t>Reused in other ways (fuel and recycled - see below) - own sites</t>
  </si>
  <si>
    <t xml:space="preserve">[1] Prior to FY21 The data collection method was manual, where there were data gaps, the volume of detergent was estimated based on percentage reported in the previous year.  From FY21 onwards the process for data collection has improved, using data from procurement spend, however this has meant that it is not possible to split by product type. </t>
  </si>
  <si>
    <t xml:space="preserve">This page is designed to represent individual country/regional data where there is a legislative/reporting need at that level.  </t>
  </si>
  <si>
    <t>Better Planet Detailed View</t>
  </si>
  <si>
    <t xml:space="preserve">For further information on performance, please refer to the appropriate Sustainability Review. </t>
  </si>
  <si>
    <t>Data complied for selcted individual companies to assist in reporting for specific criteria (e.g. legislation, EcoVadis etc)</t>
  </si>
  <si>
    <t>All FY19 figures in the Annual Sustainability Review are published excluding IFCO since their divestment during the fiscal year.  We have presented IFCO figures up until their divestment for transparency purposes in each table below</t>
  </si>
  <si>
    <t>Energy and Emissions</t>
  </si>
  <si>
    <t>Waste and recycling</t>
  </si>
  <si>
    <t>Water consumed (megalitres)</t>
  </si>
  <si>
    <t>Kilotonnes (kt) of CO2-e [2] (Scope 1 and 2)</t>
  </si>
  <si>
    <t>General waste, recycling and hazardous waste (metric tonnes)</t>
  </si>
  <si>
    <t>Water recycled (megalitres)</t>
  </si>
  <si>
    <t>Rainwater harvested (megalitres)</t>
  </si>
  <si>
    <t>Greenhouse gas (GHG) emissions (detail)</t>
  </si>
  <si>
    <t>FY18 (exc IFCO)</t>
  </si>
  <si>
    <t>FY17</t>
  </si>
  <si>
    <t>FY16</t>
  </si>
  <si>
    <t>FY15</t>
  </si>
  <si>
    <t>Pallets AU</t>
  </si>
  <si>
    <t>Pallets CL</t>
  </si>
  <si>
    <t>Pallets CA</t>
  </si>
  <si>
    <t>Pallets EU (Brambles Enterprises Ltd)</t>
  </si>
  <si>
    <t>Pallets USA</t>
  </si>
  <si>
    <t>Pallets ZA</t>
  </si>
  <si>
    <t>Emissions intensity (kg per unit) [1]</t>
  </si>
  <si>
    <t>IFCO TEU intensity not reported</t>
  </si>
  <si>
    <t>Scope 2</t>
  </si>
  <si>
    <t xml:space="preserve">no plants in scope for Scope 2. </t>
  </si>
  <si>
    <t>(inc IFCO)</t>
  </si>
  <si>
    <t>revised for target baseline</t>
  </si>
  <si>
    <t xml:space="preserve">FY15 </t>
  </si>
  <si>
    <t>reported</t>
  </si>
  <si>
    <t>General waste</t>
  </si>
  <si>
    <t>Recycling</t>
  </si>
  <si>
    <t>Lumber Reclaimed</t>
  </si>
  <si>
    <t>Hazardous waste</t>
  </si>
  <si>
    <t>No sites in scope</t>
  </si>
  <si>
    <t>[1] Intensities re-stated using new TEU methodology for all years based on FY19 Like4Like</t>
  </si>
  <si>
    <t>Business Positive</t>
  </si>
  <si>
    <t xml:space="preserve">Sharing and reusing model performance </t>
  </si>
  <si>
    <t>People performance  - Employee Stats continued</t>
  </si>
  <si>
    <t>Responsible Supply Chain</t>
  </si>
  <si>
    <t>Environmental benefits delivered in customers' supply chains</t>
  </si>
  <si>
    <t xml:space="preserve">Group employees returning from parental leave during the Year </t>
  </si>
  <si>
    <t>Customer feedback</t>
  </si>
  <si>
    <t>Voluntary turnover of employees</t>
  </si>
  <si>
    <t>Global insights relationship survey</t>
  </si>
  <si>
    <t>Total number of employee hires</t>
  </si>
  <si>
    <t>People performance  - Employee Stats</t>
  </si>
  <si>
    <t>Employee hires by gender</t>
  </si>
  <si>
    <t>Number of employees</t>
  </si>
  <si>
    <t>Employee hires by age group</t>
  </si>
  <si>
    <t>Permanent employees by gender</t>
  </si>
  <si>
    <t>Engagement</t>
  </si>
  <si>
    <t>Permanent employees by gender (management positions) as at 30 June</t>
  </si>
  <si>
    <t>Brambles Injury Frequency Rate (BIFR) and Lost Time Injury Frequency Rate (LTIFR)</t>
  </si>
  <si>
    <t>Office v Plant ratio</t>
  </si>
  <si>
    <t>BIFR by gender</t>
  </si>
  <si>
    <t>Employees by employment contract</t>
  </si>
  <si>
    <t>BIFR by segment</t>
  </si>
  <si>
    <t>Employees by employment type</t>
  </si>
  <si>
    <t>Wellbeing</t>
  </si>
  <si>
    <t>Age distribution of permanent employees</t>
  </si>
  <si>
    <t>Inclusion &amp; Diversity</t>
  </si>
  <si>
    <t xml:space="preserve">Male: female salary ratios </t>
  </si>
  <si>
    <t>Brambles Pulse Survey results</t>
  </si>
  <si>
    <t>Group employees taking parental leave during the Year</t>
  </si>
  <si>
    <t>Education, Training and Development</t>
  </si>
  <si>
    <t xml:space="preserve">Environmental benefits delivered in customers' supply chains [1] </t>
  </si>
  <si>
    <t>FY22 (restated)</t>
  </si>
  <si>
    <t>FY20 (restated) [3]</t>
  </si>
  <si>
    <t>FY19 (exc IFCO) [2]</t>
  </si>
  <si>
    <t>CO2-e saved (tonnes)</t>
  </si>
  <si>
    <t xml:space="preserve">        2,307,948 </t>
  </si>
  <si>
    <t>Number of trees saved</t>
  </si>
  <si>
    <t xml:space="preserve">        3,168,910 </t>
  </si>
  <si>
    <t>Waste eliminated from landfill (tonnes)</t>
  </si>
  <si>
    <t>Food waste eliminated (tonnes)</t>
  </si>
  <si>
    <r>
      <t>Water saved (m</t>
    </r>
    <r>
      <rPr>
        <vertAlign val="superscript"/>
        <sz val="10"/>
        <color rgb="FF000000"/>
        <rFont val="Segoe UI"/>
        <family val="2"/>
      </rPr>
      <t>3</t>
    </r>
    <r>
      <rPr>
        <sz val="10"/>
        <color indexed="8"/>
        <rFont val="Segoe UI"/>
        <family val="2"/>
      </rPr>
      <t>)</t>
    </r>
  </si>
  <si>
    <t xml:space="preserve">Carbon Neutral Pallet CO2-e offset (tonnes) </t>
  </si>
  <si>
    <t>Saving from</t>
  </si>
  <si>
    <t>Water saved (m3)</t>
  </si>
  <si>
    <t>CO2-e offset (tonnes) - carbon neutral products</t>
  </si>
  <si>
    <t>Pallets</t>
  </si>
  <si>
    <t>Transport collaboration/multimodal programs</t>
  </si>
  <si>
    <t>-</t>
  </si>
  <si>
    <t xml:space="preserve"> -   </t>
  </si>
  <si>
    <t>Response number</t>
  </si>
  <si>
    <t>Number of companies represented</t>
  </si>
  <si>
    <t>CHEP Americas</t>
  </si>
  <si>
    <t>CHEP EMEA</t>
  </si>
  <si>
    <t>CHEP Asia-Pacific</t>
  </si>
  <si>
    <t>IFCO</t>
  </si>
  <si>
    <t>73.7 / 26.3</t>
  </si>
  <si>
    <t>75.61 / 24.39</t>
  </si>
  <si>
    <t>77.29 / 22.71</t>
  </si>
  <si>
    <t>77.64 / 22.25*</t>
  </si>
  <si>
    <t>77.1 / 22.9</t>
  </si>
  <si>
    <t>76.7 / 23.3</t>
  </si>
  <si>
    <t>80.5 / 19.5</t>
  </si>
  <si>
    <t>82.42 / 17.58</t>
  </si>
  <si>
    <t>84.43 / 15.57</t>
  </si>
  <si>
    <t>84.64 / 15.10*</t>
  </si>
  <si>
    <t>84.9 / 15.1</t>
  </si>
  <si>
    <t>70 / 30</t>
  </si>
  <si>
    <t>71.84 / 28.16</t>
  </si>
  <si>
    <t>73.26 / 26.74</t>
  </si>
  <si>
    <t>73.9 / 26.1</t>
  </si>
  <si>
    <t>72.6 / 27.4</t>
  </si>
  <si>
    <t>79.1 / 20.9</t>
  </si>
  <si>
    <t>78.91 / 21.09</t>
  </si>
  <si>
    <t>80.10 / 19.90</t>
  </si>
  <si>
    <t>79.3 / 20.7</t>
  </si>
  <si>
    <t>81.0 / 19.0</t>
  </si>
  <si>
    <t>72.1 / 27.9</t>
  </si>
  <si>
    <t>54.1 / 45.9</t>
  </si>
  <si>
    <t>52.02 / 47.95</t>
  </si>
  <si>
    <t>52.53 / 47.47</t>
  </si>
  <si>
    <t>53.4 / 46.6</t>
  </si>
  <si>
    <t>55.5 / 44.5</t>
  </si>
  <si>
    <t>Permanent employees by gender (management positions) as at 30 June (% male/female)</t>
  </si>
  <si>
    <t>63.7 / 36.3</t>
  </si>
  <si>
    <t>66.7 / 33.35</t>
  </si>
  <si>
    <t>68 / 32</t>
  </si>
  <si>
    <t>68.7 / 31.3</t>
  </si>
  <si>
    <t>71.2 / 28.8</t>
  </si>
  <si>
    <t>71.0 / 29.0</t>
  </si>
  <si>
    <t>68.2 / 31.8</t>
  </si>
  <si>
    <t>65.7 / 32.52</t>
  </si>
  <si>
    <t>45.91 / 54.09</t>
  </si>
  <si>
    <t>74.1 / 25.9</t>
  </si>
  <si>
    <t>76.4 / 23.6</t>
  </si>
  <si>
    <t>61.5 / 38.5</t>
  </si>
  <si>
    <t>65.7 / 34.27</t>
  </si>
  <si>
    <t>34.30 / 65.70</t>
  </si>
  <si>
    <t>67.0 / 33.0</t>
  </si>
  <si>
    <t>69.8 / 30.2</t>
  </si>
  <si>
    <t>64.9 / 35.1</t>
  </si>
  <si>
    <t>71.7 / 28.26</t>
  </si>
  <si>
    <t>68.20 / 31.80</t>
  </si>
  <si>
    <t>67.3 / 32.7</t>
  </si>
  <si>
    <t>70.2 / 29.8</t>
  </si>
  <si>
    <t>61.1 / 38.9</t>
  </si>
  <si>
    <t>60.4 / 39.6</t>
  </si>
  <si>
    <t>62.79 / 37.21</t>
  </si>
  <si>
    <t>65.0 / 35.0</t>
  </si>
  <si>
    <t>67.1 / 32.9</t>
  </si>
  <si>
    <t>Office v Plant ratio (permanent employees) (%)</t>
  </si>
  <si>
    <t>Office Based</t>
  </si>
  <si>
    <t>Male</t>
  </si>
  <si>
    <t>Female</t>
  </si>
  <si>
    <t>Plant Based</t>
  </si>
  <si>
    <t>Employees by employment contract (%)</t>
  </si>
  <si>
    <t>Gender</t>
  </si>
  <si>
    <t>Permanent</t>
  </si>
  <si>
    <t>Temporary</t>
  </si>
  <si>
    <t>Employees by employment type (%)</t>
  </si>
  <si>
    <t>Full-time</t>
  </si>
  <si>
    <t>Part-time</t>
  </si>
  <si>
    <t>Age distribution of permanent employees (%) [9]</t>
  </si>
  <si>
    <t>&lt;30</t>
  </si>
  <si>
    <t>30-&lt;35</t>
  </si>
  <si>
    <t>35-&lt;40</t>
  </si>
  <si>
    <t>40-&lt;45</t>
  </si>
  <si>
    <t>45-&lt;50</t>
  </si>
  <si>
    <t>50-&lt;55</t>
  </si>
  <si>
    <t>55-&lt;60</t>
  </si>
  <si>
    <t>60-&lt;65</t>
  </si>
  <si>
    <t>&gt;65</t>
  </si>
  <si>
    <t>35-&lt;45</t>
  </si>
  <si>
    <t>45-&lt;55</t>
  </si>
  <si>
    <t>55-&lt;65</t>
  </si>
  <si>
    <t>Split</t>
  </si>
  <si>
    <t>Metric no longer reported due to change of methodolgy, see FY23 Sustainability Report for detail.</t>
  </si>
  <si>
    <t>0.90:1</t>
  </si>
  <si>
    <t>0.86 : 1</t>
  </si>
  <si>
    <t>0.88 : 1</t>
  </si>
  <si>
    <t>0.87 : 1</t>
  </si>
  <si>
    <t>Non-management</t>
  </si>
  <si>
    <t>0.95:1</t>
  </si>
  <si>
    <t>0.90 : 1</t>
  </si>
  <si>
    <t>0.89 : 1</t>
  </si>
  <si>
    <t>Management</t>
  </si>
  <si>
    <t>1.10:1</t>
  </si>
  <si>
    <t>1.12 : 1</t>
  </si>
  <si>
    <t>1.13 : 1</t>
  </si>
  <si>
    <t>1.10 : 1</t>
  </si>
  <si>
    <t>1.11 : 1</t>
  </si>
  <si>
    <t>Group employees taking parental leave during the Year (%)</t>
  </si>
  <si>
    <t>Group employees returning from parental leave during the Year as a percentage of those who took parental leave (%)</t>
  </si>
  <si>
    <t>Voluntary turnover of employees (%)</t>
  </si>
  <si>
    <t>n/a</t>
  </si>
  <si>
    <t>Employee hires by gender (%)</t>
  </si>
  <si>
    <t>Not declared</t>
  </si>
  <si>
    <t>Employee hires by age group (%)</t>
  </si>
  <si>
    <t>29 and under</t>
  </si>
  <si>
    <t>30-34</t>
  </si>
  <si>
    <t>35-39</t>
  </si>
  <si>
    <t>40-44</t>
  </si>
  <si>
    <t>45-49</t>
  </si>
  <si>
    <t>50-54%</t>
  </si>
  <si>
    <t>55-59</t>
  </si>
  <si>
    <t>60-64</t>
  </si>
  <si>
    <t>Measure</t>
  </si>
  <si>
    <t>Brambles Engagement Survey participation</t>
  </si>
  <si>
    <t>Events per million hours worked</t>
  </si>
  <si>
    <t>Brambles Injury Frequency Rate</t>
  </si>
  <si>
    <t>Lost Time Injury Frequency Rate</t>
  </si>
  <si>
    <t> 7.4</t>
  </si>
  <si>
    <t> 1.0</t>
  </si>
  <si>
    <t> 6.5</t>
  </si>
  <si>
    <t>N/A </t>
  </si>
  <si>
    <t> 3.8</t>
  </si>
  <si>
    <t>Metrics</t>
  </si>
  <si>
    <t>Number of initiatives launched</t>
  </si>
  <si>
    <t>Brambles Pulse Survey score (Benchmark: Brambles Score)</t>
  </si>
  <si>
    <t>77:78</t>
  </si>
  <si>
    <t>78:78</t>
  </si>
  <si>
    <t>78:77</t>
  </si>
  <si>
    <t>Pulse Survey Question</t>
  </si>
  <si>
    <t>Leaders value different perspectives (Inclusion) (Benchmark: Brambles Score)</t>
  </si>
  <si>
    <t>75:75</t>
  </si>
  <si>
    <t>74:74</t>
  </si>
  <si>
    <t>74:73</t>
  </si>
  <si>
    <t>I feel comfortable being myself at work (authenticity) (Benchmark: Brambles Score)</t>
  </si>
  <si>
    <t>82:82</t>
  </si>
  <si>
    <t>81:82</t>
  </si>
  <si>
    <t>Hours</t>
  </si>
  <si>
    <t>Education, training and development hours</t>
  </si>
  <si>
    <t>Per employee</t>
  </si>
  <si>
    <t>Per male employee</t>
  </si>
  <si>
    <t>Per female employee</t>
  </si>
  <si>
    <t>Per non-mgt employee</t>
  </si>
  <si>
    <t>Per mgt employee</t>
  </si>
  <si>
    <t>Percentage of employees who have completed training session 'Know the Code' &amp; 'Induction'</t>
  </si>
  <si>
    <t>Number of suppliers evaluated by Due Diligence process</t>
  </si>
  <si>
    <t>Number of completed Supplier Acknowledgement Forms</t>
  </si>
  <si>
    <t>Number of speak up complaints received</t>
  </si>
  <si>
    <t>Number of speak up complaints resolved</t>
  </si>
  <si>
    <t>[1] Calculated environmental benefits stated in this diagram are based on estimates from: our independent life cycle analyses (LCA), applied to volumes of the products and regions covered by these LCAs only; andinternal data collection (for multimodal/collaborative transport programs and carbon neutral products).
These represent a conservative estimate of the global environmental benefits of our pooled products for the Year. Further information is provided in our
supplementary information document, available on our website.</t>
  </si>
  <si>
    <t>[2] 2019 LCA savings were re-calculated and restated. The restatement was performed in 2020  to remediate an issue with LCA allocation.</t>
  </si>
  <si>
    <t>[3] FY20 data was restated due to a more recent LCA study undertaken in the US</t>
  </si>
  <si>
    <t>Communities Positive</t>
  </si>
  <si>
    <t>Food Positive</t>
  </si>
  <si>
    <t xml:space="preserve">Brambles Community Investment </t>
  </si>
  <si>
    <t>Circular Economy Transformation</t>
  </si>
  <si>
    <t>Volunteering Hours</t>
  </si>
  <si>
    <t>Food Positive  - Number of people served</t>
  </si>
  <si>
    <t>Region</t>
  </si>
  <si>
    <t xml:space="preserve">Cumulative </t>
  </si>
  <si>
    <t>FY22 [1]</t>
  </si>
  <si>
    <t>Number of people trained on circular economy</t>
  </si>
  <si>
    <t>Brambles community investment (US$)</t>
  </si>
  <si>
    <t>Corporate donations and sponsorship</t>
  </si>
  <si>
    <t xml:space="preserve"> $1.477.363 </t>
  </si>
  <si>
    <t xml:space="preserve">In kind donations </t>
  </si>
  <si>
    <t xml:space="preserve"> $3.414.732 </t>
  </si>
  <si>
    <t>Volunteering</t>
  </si>
  <si>
    <t xml:space="preserve"> $518.707 </t>
  </si>
  <si>
    <t>Total US$ Donation</t>
  </si>
  <si>
    <t xml:space="preserve"> $5.410.802 </t>
  </si>
  <si>
    <t>Pre-tax Profit (continuing operations)</t>
  </si>
  <si>
    <t xml:space="preserve"> $686.200.000 </t>
  </si>
  <si>
    <t>% of pre-tax profit</t>
  </si>
  <si>
    <t>Volunteering hours</t>
  </si>
  <si>
    <t>FY21[2]</t>
  </si>
  <si>
    <t>FY20*</t>
  </si>
  <si>
    <t>Hours volunteered per employee</t>
  </si>
  <si>
    <t>Total hours</t>
  </si>
  <si>
    <t>[1] Updated methodology to include social media reach</t>
  </si>
  <si>
    <t>[2] FY21&amp;20 were severely impacted by covid-19 lockdowns implemented worldwide</t>
  </si>
  <si>
    <t>[4] FY20 Note: Due to the pandemic of COVID-19, many markets opted for not launching the Relationship Survey in the last quarter of FY20 (FY20_Q4). Only NA and Australia - Pallet and Pallecon invited customers to participate in the survey in May-June 2020.</t>
  </si>
  <si>
    <t>FY20 [4]</t>
  </si>
  <si>
    <t>FY22 [5]</t>
  </si>
  <si>
    <t>[5] In FY22 the methodology changed from quarterly 2-year cycle to six-monthly annual cycle and from 80% revenue to 100% sampling of contacts in Salesforce. This resulted in responses in FY22 being more than double the responses in FY21.</t>
  </si>
  <si>
    <t>Permanent employees by gender (total) (% male/female) [6]</t>
  </si>
  <si>
    <t>[6] Totals not equaling 100 due to some employees' gender being undeclared</t>
  </si>
  <si>
    <t>Corporate [7]</t>
  </si>
  <si>
    <t>[7] Included Containers Aerospace, Oil &amp; Gas and LeanLogistics Prior to their divestment</t>
  </si>
  <si>
    <t>Age[8]</t>
  </si>
  <si>
    <t>[8] Age categories updated in alignment with our internal system for ease of reporting</t>
  </si>
  <si>
    <t>Education, Training and Development [9&amp;10]</t>
  </si>
  <si>
    <t>[9] Prior to FY21, this dataset was reported as days rather than hours.  The reason for the change is the Workday system has better capability to report in hours, this gives a clearer less error prone process</t>
  </si>
  <si>
    <t>[10] Data reported excludes any offline training, figures reported are directly from Brambles Learning Management System (LMS)</t>
  </si>
  <si>
    <t>FY23 [11]</t>
  </si>
  <si>
    <t>[11] FY23 Note: As of Sept 2022 there was a change of survey methodology to a waveless format, surveying 100% of customers in an annual basis</t>
  </si>
  <si>
    <t>FY23 [12]</t>
  </si>
  <si>
    <t>[12] excludes a course called EMPOWER: Giving Feedback for Collaboration due to correction required on course duration</t>
  </si>
  <si>
    <t>Litres of detergent purchased for product washing [1]</t>
  </si>
  <si>
    <t>Scope 2 Location Based</t>
  </si>
  <si>
    <t>Scope 2 "Market Based" [2]</t>
  </si>
  <si>
    <t>[2] From FY19 Brambles report GHG Protocol 'Market-based' Scope 2 emissions separately to 'Location-Based' Scope 2 emissions.  'Market-Based' Scope 2 emissions include the purchase of electricity through renewable energy contracts, Renewable Energy Certificates and onsite power generation.  'Location-based' emissions reported cover all electricity that is purchased through a 3rd party supplier and not under a renewable electricity contract/certificate</t>
  </si>
  <si>
    <t>[3] In FY21 Brambles started a new reporting period with new materiality study including locations in scope that contribute to 95% of Brambles Emissions.  FY20 was therefore re-baselined to take this into account.</t>
  </si>
  <si>
    <t>FY20 Rebased [3]</t>
  </si>
  <si>
    <t>[4] Terra Joules have been recalculated FY20 for consistency with FY21</t>
  </si>
  <si>
    <t>(inc IFCO) [5]</t>
  </si>
  <si>
    <t>[5] IFCO locations based on FY18 Inscope locations</t>
  </si>
  <si>
    <t>Energy split [6]</t>
  </si>
  <si>
    <t>[6] Pareto methodology requires 5% to be added to total.</t>
  </si>
  <si>
    <t>[7] Renewable electricity includes Energy Attribute Certificates (EACs) purchased</t>
  </si>
  <si>
    <t>c) Total renewable Energy (wind, solar, biomass etc.) [7]</t>
  </si>
  <si>
    <t>[8] New methodology using TEUs (Transport Equivalent Units) to calculate intensity - refer to supplementary information for more detail</t>
  </si>
  <si>
    <t>Reported (TEU Intensity) [8]</t>
  </si>
  <si>
    <t xml:space="preserve">[9] From FY20 full value chain emissions were assessed, historically, only category 9 and 10 material sources were assessed.  Measurement in FY19 and prior were outsourced service centres and outsourced transport.  </t>
  </si>
  <si>
    <t>Science Based Targets Scope 3 Emissions (kt-CO2e) [9]</t>
  </si>
  <si>
    <t>FY21 [10]</t>
  </si>
  <si>
    <t>[10] FY21's scope 3 breakdown is unassured as of 20.06.2022 and could be subject to change until it goes through assurance for FY22's sustainability review.</t>
  </si>
  <si>
    <t>SBTi Scope 3 Target Category [11]</t>
  </si>
  <si>
    <t>[11] Brambles have public and validated Science Based Targets that contain our material value chain categories of Cat.2 Captial Goods, Cat.4 Upstream transportation and Distribution, Cat.5 Waste generated in operations, Cat.9 Downstream transportation and distribution and Cat.10 Processing of sold products</t>
  </si>
  <si>
    <t>Offset Credits Purchased - Used towards Carbon Neutral Pallets[12]</t>
  </si>
  <si>
    <t>[12] These credits are purchased as part of an offering of Carbon Neutral Pallets for our Customers in Europe.  The Tonnes CO2e offset by these credits is not deducted from the Scope 1, 2 or 3 emissions reported centrally</t>
  </si>
  <si>
    <t xml:space="preserve"> 8,699[13] </t>
  </si>
  <si>
    <t>[13] Until FY21, carbon credits were purchased in alignment with a calendar year instead of a fiscal year. The number included for FY20 would correspond to the carbon credits purchased during FY20 to cover the calendar year 2019.</t>
  </si>
  <si>
    <t xml:space="preserve">Renewable Energy Certificate Credits Purchased towards Scope 2 Carbon Neutrality [14] </t>
  </si>
  <si>
    <t>Year [15]</t>
  </si>
  <si>
    <t xml:space="preserve">[15] No purchases for IFCO </t>
  </si>
  <si>
    <t xml:space="preserve">[16] Carbon dioxide equivalent (CO2-e) is the universal unit of measurement to indicate the full global warming potential (GWP) of a particular greenhouse gas emission. It takes into account the GWP of each of the six Kyoto greenhouse gases, and expresses </t>
  </si>
  <si>
    <t>Enabled the sustainable growth of second tree</t>
  </si>
  <si>
    <t>3.85M</t>
  </si>
  <si>
    <t xml:space="preserve">[14] As per methodology, EACs are purchased to cover the majority of residual scope 2 emissions.  </t>
  </si>
  <si>
    <t>Kilotonnes (kt) of CO2-e [16 &amp; 17] and Terajoules (TJ) of Energy (Scope 1 and 2) RE100 aligned</t>
  </si>
  <si>
    <t>[17] Scope 1,2 and 3 emisssions have been restated for FY20, FY21 and FY22 to reflect revised assumptions and improved data quality. The restatements are not reflected in this table. For more information refer to the FY23 Supplementary Information document.</t>
  </si>
  <si>
    <t>Water consumed, recycled and discharged (million cubic metres)</t>
  </si>
  <si>
    <t>Total energy (renewable &amp; non-renewable)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</si>
</sst>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_(* #,##0_);_(* \(#,##0\);_(* &quot;-&quot;??_);_(@_)"/>
    <numFmt numFmtId="165" formatCode="0.0%"/>
    <numFmt numFmtId="166" formatCode="0.0"/>
    <numFmt numFmtId="167" formatCode="&quot;$&quot;#,##0"/>
    <numFmt numFmtId="168" formatCode="#,##0.0"/>
    <numFmt numFmtId="169" formatCode="_(* #,##0.000_);_(* \(#,##0.000\);_(* &quot;-&quot;??_);_(@_)"/>
    <numFmt numFmtId="170" formatCode="0.000"/>
    <numFmt numFmtId="171" formatCode="_-* #,##0_-;\-* #,##0_-;_-* &quot;-&quot;??_-;_-@_-"/>
    <numFmt numFmtId="172" formatCode="#,##0.000"/>
  </numFmts>
  <fonts count="88">
    <font>
      <sz val="12"/>
      <color theme="1"/>
      <name val="Calibri"/>
      <family val="2"/>
      <scheme val="minor"/>
    </font>
    <font>
      <sz val="12"/>
      <color theme="1"/>
      <name val="Calibri"/>
      <family val="2"/>
      <scheme val="minor"/>
    </font>
    <font>
      <sz val="12"/>
      <color indexed="8"/>
      <name val="Calibri"/>
      <family val="2"/>
    </font>
    <font>
      <u/>
      <sz val="12"/>
      <color indexed="12"/>
      <name val="Calibri"/>
      <family val="2"/>
    </font>
    <font>
      <sz val="10"/>
      <color indexed="8"/>
      <name val="Trebuchet MS"/>
      <family val="2"/>
    </font>
    <font>
      <b/>
      <sz val="10"/>
      <color indexed="8"/>
      <name val="Trebuchet MS"/>
      <family val="2"/>
    </font>
    <font>
      <b/>
      <sz val="10"/>
      <color indexed="9"/>
      <name val="Trebuchet MS"/>
      <family val="2"/>
    </font>
    <font>
      <sz val="8"/>
      <color indexed="55"/>
      <name val="Trebuchet MS"/>
      <family val="2"/>
    </font>
    <font>
      <u/>
      <sz val="12"/>
      <color theme="11"/>
      <name val="Calibri"/>
      <family val="2"/>
      <scheme val="minor"/>
    </font>
    <font>
      <sz val="8"/>
      <color theme="1"/>
      <name val="Arial"/>
      <family val="2"/>
    </font>
    <font>
      <b/>
      <sz val="14"/>
      <color theme="1"/>
      <name val="Trebuchet MS"/>
      <family val="2"/>
    </font>
    <font>
      <sz val="10"/>
      <color theme="1"/>
      <name val="Trebuchet MS"/>
      <family val="2"/>
    </font>
    <font>
      <b/>
      <sz val="10"/>
      <color theme="1"/>
      <name val="Trebuchet MS"/>
      <family val="2"/>
    </font>
    <font>
      <sz val="12"/>
      <name val="Calibri"/>
      <family val="2"/>
      <scheme val="minor"/>
    </font>
    <font>
      <b/>
      <sz val="14"/>
      <color theme="1"/>
      <name val="Segoe UI"/>
      <family val="2"/>
    </font>
    <font>
      <b/>
      <sz val="10"/>
      <color theme="1"/>
      <name val="Segoe UI"/>
      <family val="2"/>
    </font>
    <font>
      <b/>
      <sz val="10"/>
      <name val="Segoe UI"/>
      <family val="2"/>
    </font>
    <font>
      <sz val="10"/>
      <color indexed="8"/>
      <name val="Segoe UI"/>
      <family val="2"/>
    </font>
    <font>
      <sz val="12"/>
      <color theme="1"/>
      <name val="Segoe UI"/>
      <family val="2"/>
    </font>
    <font>
      <b/>
      <sz val="10"/>
      <color indexed="8"/>
      <name val="Segoe UI"/>
      <family val="2"/>
    </font>
    <font>
      <sz val="10"/>
      <color theme="1"/>
      <name val="Segoe UI"/>
      <family val="2"/>
    </font>
    <font>
      <u/>
      <sz val="12"/>
      <color indexed="12"/>
      <name val="Segoe UI"/>
      <family val="2"/>
    </font>
    <font>
      <sz val="10"/>
      <color theme="1"/>
      <name val="Calibri"/>
      <family val="2"/>
      <scheme val="minor"/>
    </font>
    <font>
      <b/>
      <sz val="32"/>
      <color rgb="FF0076AA"/>
      <name val="Segoe UI"/>
      <family val="2"/>
    </font>
    <font>
      <b/>
      <sz val="18"/>
      <color indexed="8"/>
      <name val="Segoe UI"/>
      <family val="2"/>
    </font>
    <font>
      <sz val="12"/>
      <color indexed="8"/>
      <name val="Segoe UI"/>
      <family val="2"/>
    </font>
    <font>
      <b/>
      <sz val="16"/>
      <color indexed="8"/>
      <name val="Segoe UI"/>
      <family val="2"/>
    </font>
    <font>
      <b/>
      <vertAlign val="superscript"/>
      <sz val="10"/>
      <color indexed="8"/>
      <name val="Segoe UI"/>
      <family val="2"/>
    </font>
    <font>
      <i/>
      <sz val="9"/>
      <color indexed="8"/>
      <name val="Segoe UI"/>
      <family val="2"/>
    </font>
    <font>
      <b/>
      <sz val="14"/>
      <color indexed="8"/>
      <name val="Segoe UI"/>
      <family val="2"/>
    </font>
    <font>
      <sz val="12"/>
      <color indexed="9"/>
      <name val="Segoe UI"/>
      <family val="2"/>
    </font>
    <font>
      <sz val="9"/>
      <color indexed="8"/>
      <name val="Segoe UI"/>
      <family val="2"/>
    </font>
    <font>
      <b/>
      <sz val="12"/>
      <color theme="1"/>
      <name val="Segoe UI"/>
      <family val="2"/>
    </font>
    <font>
      <i/>
      <sz val="8"/>
      <color indexed="8"/>
      <name val="Segoe UI"/>
      <family val="2"/>
    </font>
    <font>
      <b/>
      <sz val="12"/>
      <color rgb="FFFF0000"/>
      <name val="Calibri"/>
      <family val="2"/>
      <scheme val="minor"/>
    </font>
    <font>
      <b/>
      <sz val="12"/>
      <color theme="1"/>
      <name val="Calibri"/>
      <family val="2"/>
      <scheme val="minor"/>
    </font>
    <font>
      <i/>
      <sz val="9"/>
      <color rgb="FFFF0000"/>
      <name val="Calibri"/>
      <family val="2"/>
      <scheme val="minor"/>
    </font>
    <font>
      <sz val="10"/>
      <name val="Segoe UI"/>
      <family val="2"/>
    </font>
    <font>
      <b/>
      <sz val="20"/>
      <color indexed="8"/>
      <name val="Segoe UI"/>
      <family val="2"/>
    </font>
    <font>
      <b/>
      <sz val="12"/>
      <color indexed="8"/>
      <name val="Segoe UI"/>
      <family val="2"/>
    </font>
    <font>
      <b/>
      <u/>
      <sz val="12"/>
      <color indexed="12"/>
      <name val="Calibri"/>
      <family val="2"/>
    </font>
    <font>
      <b/>
      <sz val="12"/>
      <name val="Segoe UI"/>
      <family val="2"/>
    </font>
    <font>
      <sz val="14"/>
      <color theme="1"/>
      <name val="Calibri"/>
      <family val="2"/>
      <scheme val="minor"/>
    </font>
    <font>
      <sz val="14"/>
      <color theme="1"/>
      <name val="Segoe UI"/>
      <family val="2"/>
    </font>
    <font>
      <i/>
      <sz val="11"/>
      <color indexed="8"/>
      <name val="Segoe UI"/>
      <family val="2"/>
    </font>
    <font>
      <b/>
      <sz val="10"/>
      <color theme="1"/>
      <name val="Calibri"/>
      <family val="2"/>
      <scheme val="minor"/>
    </font>
    <font>
      <i/>
      <sz val="10"/>
      <color theme="1"/>
      <name val="Segoe UI"/>
      <family val="2"/>
    </font>
    <font>
      <i/>
      <sz val="12"/>
      <color indexed="8"/>
      <name val="Segoe UI"/>
      <family val="2"/>
    </font>
    <font>
      <sz val="10"/>
      <color rgb="FF000000"/>
      <name val="Segoe UI"/>
      <family val="2"/>
    </font>
    <font>
      <b/>
      <sz val="10"/>
      <color rgb="FF000000"/>
      <name val="Segoe UI"/>
      <family val="2"/>
    </font>
    <font>
      <sz val="11"/>
      <color rgb="FF000000"/>
      <name val="Calibri"/>
      <family val="2"/>
      <scheme val="minor"/>
    </font>
    <font>
      <b/>
      <sz val="14"/>
      <color theme="1"/>
      <name val="Calibri"/>
      <family val="2"/>
      <scheme val="minor"/>
    </font>
    <font>
      <b/>
      <sz val="11"/>
      <color rgb="FF000000"/>
      <name val="Calibri"/>
      <family val="2"/>
      <scheme val="minor"/>
    </font>
    <font>
      <b/>
      <sz val="8"/>
      <name val="Segoe UI"/>
      <family val="2"/>
    </font>
    <font>
      <b/>
      <sz val="12"/>
      <color indexed="8"/>
      <name val="Calibri"/>
      <family val="2"/>
    </font>
    <font>
      <vertAlign val="superscript"/>
      <sz val="10"/>
      <color rgb="FF000000"/>
      <name val="Segoe UI"/>
      <family val="2"/>
    </font>
    <font>
      <b/>
      <sz val="10"/>
      <color rgb="FFFF0000"/>
      <name val="Segoe UI"/>
      <family val="2"/>
    </font>
    <font>
      <b/>
      <sz val="14"/>
      <color rgb="FFFF0000"/>
      <name val="Segoe UI"/>
      <family val="2"/>
    </font>
    <font>
      <b/>
      <sz val="14"/>
      <color indexed="12"/>
      <name val="Calibri"/>
      <family val="2"/>
    </font>
    <font>
      <b/>
      <sz val="12"/>
      <color indexed="12"/>
      <name val="Calibri"/>
      <family val="2"/>
    </font>
    <font>
      <sz val="10"/>
      <color indexed="12"/>
      <name val="Calibri"/>
      <family val="2"/>
    </font>
    <font>
      <sz val="11"/>
      <color rgb="FF444444"/>
      <name val="Calibri"/>
      <family val="2"/>
    </font>
    <font>
      <sz val="12"/>
      <color rgb="FFFF0000"/>
      <name val="Calibri"/>
      <family val="2"/>
      <scheme val="minor"/>
    </font>
    <font>
      <b/>
      <u/>
      <sz val="14"/>
      <color indexed="12"/>
      <name val="Calibri"/>
      <family val="2"/>
    </font>
    <font>
      <sz val="12"/>
      <color indexed="8"/>
      <name val="Calibri"/>
    </font>
    <font>
      <b/>
      <sz val="10"/>
      <name val="Segoe UI"/>
    </font>
    <font>
      <b/>
      <sz val="10"/>
      <color rgb="FF000000"/>
      <name val="Segoe UI"/>
    </font>
    <font>
      <sz val="10"/>
      <color rgb="FF000000"/>
      <name val="Segoe UI"/>
    </font>
    <font>
      <sz val="12"/>
      <color rgb="FFFF0000"/>
      <name val="Segoe UI"/>
      <family val="2"/>
    </font>
    <font>
      <sz val="10"/>
      <color theme="1"/>
      <name val="Segoe UI"/>
    </font>
    <font>
      <u/>
      <sz val="12"/>
      <color indexed="12"/>
      <name val="Calibri"/>
    </font>
    <font>
      <sz val="12"/>
      <color indexed="12"/>
      <name val="Calibri"/>
      <family val="2"/>
    </font>
    <font>
      <b/>
      <sz val="14"/>
      <color indexed="12"/>
      <name val="Calibri"/>
    </font>
    <font>
      <sz val="10"/>
      <color indexed="8"/>
      <name val="Segoe UI"/>
    </font>
    <font>
      <b/>
      <i/>
      <sz val="9"/>
      <color rgb="FFFF0000"/>
      <name val="Calibri"/>
      <scheme val="minor"/>
    </font>
    <font>
      <b/>
      <sz val="12"/>
      <color theme="1"/>
      <name val="Calibri"/>
      <scheme val="minor"/>
    </font>
    <font>
      <i/>
      <sz val="8"/>
      <name val="Segoe UI"/>
      <family val="2"/>
    </font>
    <font>
      <sz val="8"/>
      <color indexed="12"/>
      <name val="Calibri"/>
      <family val="2"/>
    </font>
    <font>
      <sz val="8"/>
      <color theme="1"/>
      <name val="Segoe UI"/>
      <family val="2"/>
    </font>
    <font>
      <sz val="10"/>
      <color theme="1"/>
      <name val="Times New Roman"/>
      <family val="1"/>
    </font>
    <font>
      <i/>
      <sz val="11"/>
      <color theme="1"/>
      <name val="Calibri"/>
      <family val="2"/>
      <scheme val="minor"/>
    </font>
    <font>
      <b/>
      <sz val="8"/>
      <color indexed="8"/>
      <name val="Segoe UI"/>
      <family val="2"/>
    </font>
    <font>
      <b/>
      <sz val="12"/>
      <color rgb="FF000000"/>
      <name val="Calibri"/>
      <family val="2"/>
    </font>
    <font>
      <sz val="12"/>
      <color rgb="FF000000"/>
      <name val="Calibri"/>
      <family val="2"/>
    </font>
    <font>
      <sz val="8"/>
      <color theme="1"/>
      <name val="Calibri"/>
      <family val="2"/>
      <scheme val="minor"/>
    </font>
    <font>
      <u/>
      <sz val="8"/>
      <color indexed="12"/>
      <name val="Calibri"/>
      <family val="2"/>
    </font>
    <font>
      <b/>
      <sz val="16"/>
      <color indexed="12"/>
      <name val="Calibri"/>
      <family val="2"/>
    </font>
    <font>
      <u/>
      <sz val="10"/>
      <color indexed="12"/>
      <name val="Calibri"/>
      <family val="2"/>
    </font>
  </fonts>
  <fills count="17">
    <fill>
      <patternFill patternType="none"/>
    </fill>
    <fill>
      <patternFill patternType="gray125"/>
    </fill>
    <fill>
      <patternFill patternType="solid">
        <fgColor theme="0"/>
        <bgColor indexed="64"/>
      </patternFill>
    </fill>
    <fill>
      <patternFill patternType="solid">
        <fgColor rgb="FFFFEEB7"/>
        <bgColor indexed="64"/>
      </patternFill>
    </fill>
    <fill>
      <patternFill patternType="solid">
        <fgColor theme="6" tint="0.79998168889431442"/>
        <bgColor indexed="64"/>
      </patternFill>
    </fill>
    <fill>
      <patternFill patternType="solid">
        <fgColor theme="6"/>
        <bgColor indexed="64"/>
      </patternFill>
    </fill>
    <fill>
      <patternFill patternType="solid">
        <fgColor theme="8"/>
        <bgColor indexed="64"/>
      </patternFill>
    </fill>
    <fill>
      <patternFill patternType="solid">
        <fgColor rgb="FFFFFFFF"/>
        <bgColor indexed="64"/>
      </patternFill>
    </fill>
    <fill>
      <patternFill patternType="solid">
        <fgColor rgb="FFFFFF00"/>
        <bgColor indexed="64"/>
      </patternFill>
    </fill>
    <fill>
      <patternFill patternType="solid">
        <fgColor rgb="FFFFFFFF"/>
        <bgColor rgb="FF000000"/>
      </patternFill>
    </fill>
    <fill>
      <patternFill patternType="solid">
        <fgColor rgb="FF00B050"/>
        <bgColor indexed="64"/>
      </patternFill>
    </fill>
    <fill>
      <patternFill patternType="solid">
        <fgColor rgb="FFFFC000"/>
        <bgColor indexed="64"/>
      </patternFill>
    </fill>
    <fill>
      <patternFill patternType="solid">
        <fgColor rgb="FF00B0F0"/>
        <bgColor indexed="64"/>
      </patternFill>
    </fill>
    <fill>
      <patternFill patternType="solid">
        <fgColor rgb="FFFFEEB7"/>
        <bgColor rgb="FF000000"/>
      </patternFill>
    </fill>
    <fill>
      <patternFill patternType="solid">
        <fgColor rgb="FF92D050"/>
        <bgColor indexed="64"/>
      </patternFill>
    </fill>
    <fill>
      <patternFill patternType="solid">
        <fgColor rgb="FF00BC55"/>
        <bgColor indexed="64"/>
      </patternFill>
    </fill>
    <fill>
      <patternFill patternType="solid">
        <fgColor theme="0"/>
        <bgColor rgb="FF000000"/>
      </patternFill>
    </fill>
  </fills>
  <borders count="73">
    <border>
      <left/>
      <right/>
      <top/>
      <bottom/>
      <diagonal/>
    </border>
    <border>
      <left style="medium">
        <color theme="6" tint="-0.499984740745262"/>
      </left>
      <right style="medium">
        <color theme="6" tint="-0.499984740745262"/>
      </right>
      <top style="medium">
        <color theme="6" tint="-0.499984740745262"/>
      </top>
      <bottom/>
      <diagonal/>
    </border>
    <border>
      <left style="medium">
        <color theme="6" tint="-0.499984740745262"/>
      </left>
      <right style="medium">
        <color theme="6" tint="-0.499984740745262"/>
      </right>
      <top/>
      <bottom/>
      <diagonal/>
    </border>
    <border>
      <left style="medium">
        <color theme="6" tint="-0.499984740745262"/>
      </left>
      <right style="medium">
        <color theme="6" tint="-0.499984740745262"/>
      </right>
      <top/>
      <bottom style="medium">
        <color theme="6" tint="-0.499984740745262"/>
      </bottom>
      <diagonal/>
    </border>
    <border>
      <left style="medium">
        <color theme="6" tint="-0.499984740745262"/>
      </left>
      <right style="medium">
        <color theme="6" tint="-0.499984740745262"/>
      </right>
      <top style="medium">
        <color theme="6" tint="-0.499984740745262"/>
      </top>
      <bottom style="medium">
        <color theme="6" tint="-0.499984740745262"/>
      </bottom>
      <diagonal/>
    </border>
    <border>
      <left/>
      <right style="medium">
        <color theme="6" tint="-0.499984740745262"/>
      </right>
      <top/>
      <bottom/>
      <diagonal/>
    </border>
    <border>
      <left style="medium">
        <color theme="6" tint="-0.499984740745262"/>
      </left>
      <right/>
      <top/>
      <bottom/>
      <diagonal/>
    </border>
    <border>
      <left style="medium">
        <color theme="6" tint="-0.499984740745262"/>
      </left>
      <right/>
      <top style="medium">
        <color theme="6" tint="-0.499984740745262"/>
      </top>
      <bottom/>
      <diagonal/>
    </border>
    <border>
      <left style="medium">
        <color theme="8" tint="-0.499984740745262"/>
      </left>
      <right style="medium">
        <color theme="8" tint="-0.499984740745262"/>
      </right>
      <top/>
      <bottom/>
      <diagonal/>
    </border>
    <border>
      <left style="medium">
        <color theme="8" tint="-0.499984740745262"/>
      </left>
      <right/>
      <top/>
      <bottom/>
      <diagonal/>
    </border>
    <border>
      <left style="medium">
        <color theme="8" tint="-0.499984740745262"/>
      </left>
      <right/>
      <top style="medium">
        <color theme="8" tint="-0.499984740745262"/>
      </top>
      <bottom/>
      <diagonal/>
    </border>
    <border>
      <left style="medium">
        <color theme="8" tint="-0.499984740745262"/>
      </left>
      <right/>
      <top/>
      <bottom style="medium">
        <color theme="8" tint="-0.499984740745262"/>
      </bottom>
      <diagonal/>
    </border>
    <border>
      <left style="medium">
        <color indexed="64"/>
      </left>
      <right/>
      <top style="medium">
        <color indexed="64"/>
      </top>
      <bottom/>
      <diagonal/>
    </border>
    <border>
      <left style="medium">
        <color theme="8" tint="-0.499984740745262"/>
      </left>
      <right style="medium">
        <color theme="8" tint="-0.499984740745262"/>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theme="8" tint="-0.499984740745262"/>
      </left>
      <right style="medium">
        <color theme="8" tint="-0.499984740745262"/>
      </right>
      <top/>
      <bottom style="medium">
        <color indexed="64"/>
      </bottom>
      <diagonal/>
    </border>
    <border>
      <left style="medium">
        <color theme="6" tint="-0.499984740745262"/>
      </left>
      <right style="medium">
        <color theme="6" tint="-0.499984740745262"/>
      </right>
      <top style="medium">
        <color indexed="64"/>
      </top>
      <bottom/>
      <diagonal/>
    </border>
    <border>
      <left style="medium">
        <color theme="6" tint="-0.499984740745262"/>
      </left>
      <right style="medium">
        <color indexed="64"/>
      </right>
      <top style="medium">
        <color indexed="64"/>
      </top>
      <bottom/>
      <diagonal/>
    </border>
    <border>
      <left style="medium">
        <color indexed="64"/>
      </left>
      <right style="medium">
        <color theme="6" tint="-0.499984740745262"/>
      </right>
      <top/>
      <bottom/>
      <diagonal/>
    </border>
    <border>
      <left style="medium">
        <color theme="6" tint="-0.499984740745262"/>
      </left>
      <right style="medium">
        <color indexed="64"/>
      </right>
      <top/>
      <bottom/>
      <diagonal/>
    </border>
    <border>
      <left style="medium">
        <color indexed="64"/>
      </left>
      <right style="medium">
        <color theme="6" tint="-0.499984740745262"/>
      </right>
      <top/>
      <bottom style="medium">
        <color indexed="64"/>
      </bottom>
      <diagonal/>
    </border>
    <border>
      <left style="medium">
        <color theme="6" tint="-0.499984740745262"/>
      </left>
      <right style="medium">
        <color theme="6" tint="-0.499984740745262"/>
      </right>
      <top/>
      <bottom style="medium">
        <color indexed="64"/>
      </bottom>
      <diagonal/>
    </border>
    <border>
      <left style="medium">
        <color theme="6" tint="-0.499984740745262"/>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theme="6" tint="-0.499984740745262"/>
      </left>
      <right/>
      <top style="medium">
        <color theme="6" tint="-0.499984740745262"/>
      </top>
      <bottom style="medium">
        <color theme="6" tint="-0.499984740745262"/>
      </bottom>
      <diagonal/>
    </border>
    <border>
      <left/>
      <right style="medium">
        <color theme="6" tint="-0.499984740745262"/>
      </right>
      <top style="medium">
        <color theme="6" tint="-0.499984740745262"/>
      </top>
      <bottom style="medium">
        <color theme="6" tint="-0.499984740745262"/>
      </bottom>
      <diagonal/>
    </border>
    <border>
      <left style="medium">
        <color indexed="64"/>
      </left>
      <right style="medium">
        <color indexed="64"/>
      </right>
      <top style="medium">
        <color indexed="64"/>
      </top>
      <bottom style="medium">
        <color indexed="64"/>
      </bottom>
      <diagonal/>
    </border>
    <border>
      <left style="medium">
        <color indexed="64"/>
      </left>
      <right style="medium">
        <color rgb="FFFFC000"/>
      </right>
      <top/>
      <bottom/>
      <diagonal/>
    </border>
    <border>
      <left style="medium">
        <color indexed="64"/>
      </left>
      <right style="medium">
        <color rgb="FFFFC000"/>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theme="6" tint="-0.499984740745262"/>
      </right>
      <top style="medium">
        <color indexed="64"/>
      </top>
      <bottom/>
      <diagonal/>
    </border>
    <border>
      <left style="medium">
        <color rgb="FF000000"/>
      </left>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medium">
        <color rgb="FF000000"/>
      </left>
      <right style="medium">
        <color rgb="FF000000"/>
      </right>
      <top/>
      <bottom/>
      <diagonal/>
    </border>
    <border>
      <left/>
      <right style="medium">
        <color theme="6" tint="-0.499984740745262"/>
      </right>
      <top style="medium">
        <color indexed="64"/>
      </top>
      <bottom/>
      <diagonal/>
    </border>
    <border>
      <left/>
      <right style="medium">
        <color theme="6" tint="-0.499984740745262"/>
      </right>
      <top/>
      <bottom style="medium">
        <color indexed="64"/>
      </bottom>
      <diagonal/>
    </border>
    <border>
      <left style="medium">
        <color rgb="FF000000"/>
      </left>
      <right style="medium">
        <color rgb="FF000000"/>
      </right>
      <top/>
      <bottom style="medium">
        <color rgb="FF000000"/>
      </bottom>
      <diagonal/>
    </border>
    <border>
      <left/>
      <right style="medium">
        <color rgb="FF000000"/>
      </right>
      <top style="medium">
        <color indexed="64"/>
      </top>
      <bottom style="medium">
        <color indexed="64"/>
      </bottom>
      <diagonal/>
    </border>
    <border>
      <left/>
      <right style="medium">
        <color rgb="FF000000"/>
      </right>
      <top/>
      <bottom/>
      <diagonal/>
    </border>
    <border>
      <left style="medium">
        <color indexed="64"/>
      </left>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rgb="FF000000"/>
      </left>
      <right style="medium">
        <color indexed="64"/>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indexed="64"/>
      </left>
      <right style="medium">
        <color indexed="64"/>
      </right>
      <top/>
      <bottom style="medium">
        <color rgb="FF000000"/>
      </bottom>
      <diagonal/>
    </border>
    <border>
      <left/>
      <right/>
      <top/>
      <bottom style="medium">
        <color indexed="64"/>
      </bottom>
      <diagonal/>
    </border>
    <border>
      <left style="medium">
        <color indexed="64"/>
      </left>
      <right style="medium">
        <color theme="8" tint="-0.499984740745262"/>
      </right>
      <top style="medium">
        <color indexed="64"/>
      </top>
      <bottom/>
      <diagonal/>
    </border>
    <border>
      <left style="medium">
        <color indexed="64"/>
      </left>
      <right style="medium">
        <color theme="8" tint="-0.499984740745262"/>
      </right>
      <top/>
      <bottom style="medium">
        <color indexed="64"/>
      </bottom>
      <diagonal/>
    </border>
    <border>
      <left/>
      <right/>
      <top style="medium">
        <color indexed="64"/>
      </top>
      <bottom/>
      <diagonal/>
    </border>
    <border>
      <left style="medium">
        <color rgb="FFFFC000"/>
      </left>
      <right/>
      <top/>
      <bottom/>
      <diagonal/>
    </border>
    <border>
      <left style="medium">
        <color rgb="FFFFC000"/>
      </left>
      <right/>
      <top/>
      <bottom style="medium">
        <color indexed="64"/>
      </bottom>
      <diagonal/>
    </border>
    <border>
      <left style="medium">
        <color rgb="FF000000"/>
      </left>
      <right style="medium">
        <color rgb="FF000000"/>
      </right>
      <top/>
      <bottom style="medium">
        <color indexed="64"/>
      </bottom>
      <diagonal/>
    </border>
    <border>
      <left/>
      <right style="medium">
        <color rgb="FF000000"/>
      </right>
      <top/>
      <bottom style="medium">
        <color indexed="64"/>
      </bottom>
      <diagonal/>
    </border>
    <border>
      <left style="medium">
        <color rgb="FF000000"/>
      </left>
      <right style="medium">
        <color indexed="64"/>
      </right>
      <top/>
      <bottom/>
      <diagonal/>
    </border>
    <border>
      <left style="medium">
        <color rgb="FF000000"/>
      </left>
      <right/>
      <top/>
      <bottom style="medium">
        <color indexed="64"/>
      </bottom>
      <diagonal/>
    </border>
    <border>
      <left style="medium">
        <color rgb="FF000000"/>
      </left>
      <right style="medium">
        <color indexed="64"/>
      </right>
      <top/>
      <bottom style="medium">
        <color indexed="64"/>
      </bottom>
      <diagonal/>
    </border>
    <border>
      <left style="medium">
        <color theme="6" tint="-0.499984740745262"/>
      </left>
      <right/>
      <top/>
      <bottom style="medium">
        <color indexed="64"/>
      </bottom>
      <diagonal/>
    </border>
    <border>
      <left/>
      <right style="medium">
        <color theme="6" tint="-0.24994659260841701"/>
      </right>
      <top/>
      <bottom/>
      <diagonal/>
    </border>
    <border>
      <left style="medium">
        <color rgb="FF000000"/>
      </left>
      <right style="medium">
        <color rgb="FF000000"/>
      </right>
      <top style="medium">
        <color indexed="64"/>
      </top>
      <bottom/>
      <diagonal/>
    </border>
    <border>
      <left/>
      <right style="medium">
        <color theme="6" tint="-0.499984740745262"/>
      </right>
      <top style="medium">
        <color theme="6" tint="-0.499984740745262"/>
      </top>
      <bottom/>
      <diagonal/>
    </border>
    <border>
      <left/>
      <right style="medium">
        <color theme="6" tint="-0.499984740745262"/>
      </right>
      <top/>
      <bottom style="medium">
        <color theme="6" tint="-0.499984740745262"/>
      </bottom>
      <diagonal/>
    </border>
    <border>
      <left/>
      <right/>
      <top style="medium">
        <color indexed="64"/>
      </top>
      <bottom style="medium">
        <color rgb="FF000000"/>
      </bottom>
      <diagonal/>
    </border>
    <border>
      <left/>
      <right/>
      <top style="medium">
        <color rgb="FF000000"/>
      </top>
      <bottom style="medium">
        <color rgb="FF000000"/>
      </bottom>
      <diagonal/>
    </border>
    <border>
      <left style="medium">
        <color indexed="64"/>
      </left>
      <right style="medium">
        <color rgb="FF000000"/>
      </right>
      <top style="medium">
        <color indexed="64"/>
      </top>
      <bottom style="medium">
        <color indexed="64"/>
      </bottom>
      <diagonal/>
    </border>
    <border>
      <left style="medium">
        <color rgb="FF000000"/>
      </left>
      <right style="thin">
        <color indexed="64"/>
      </right>
      <top/>
      <bottom/>
      <diagonal/>
    </border>
    <border>
      <left style="medium">
        <color rgb="FF000000"/>
      </left>
      <right style="thin">
        <color indexed="64"/>
      </right>
      <top/>
      <bottom style="medium">
        <color rgb="FF000000"/>
      </bottom>
      <diagonal/>
    </border>
  </borders>
  <cellStyleXfs count="91">
    <xf numFmtId="0" fontId="0" fillId="0" borderId="0"/>
    <xf numFmtId="43" fontId="1" fillId="0" borderId="0" applyFont="0" applyFill="0" applyBorder="0" applyAlignment="0" applyProtection="0"/>
    <xf numFmtId="0" fontId="3" fillId="0" borderId="0" applyNumberFormat="0" applyFill="0" applyBorder="0" applyAlignment="0" applyProtection="0"/>
    <xf numFmtId="0" fontId="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701">
    <xf numFmtId="0" fontId="0" fillId="0" borderId="0" xfId="0"/>
    <xf numFmtId="0" fontId="2" fillId="0" borderId="0" xfId="3"/>
    <xf numFmtId="0" fontId="3" fillId="0" borderId="0" xfId="2" applyAlignment="1">
      <alignment vertical="center"/>
    </xf>
    <xf numFmtId="0" fontId="7" fillId="0" borderId="0" xfId="3" applyFont="1" applyAlignment="1">
      <alignment vertical="center"/>
    </xf>
    <xf numFmtId="0" fontId="13" fillId="2" borderId="0" xfId="0" applyFont="1" applyFill="1"/>
    <xf numFmtId="0" fontId="9" fillId="2" borderId="0" xfId="0" applyFont="1" applyFill="1" applyAlignment="1">
      <alignment vertical="center"/>
    </xf>
    <xf numFmtId="0" fontId="0" fillId="2" borderId="0" xfId="0" applyFill="1"/>
    <xf numFmtId="0" fontId="18" fillId="0" borderId="0" xfId="0" applyFont="1"/>
    <xf numFmtId="0" fontId="23" fillId="0" borderId="0" xfId="0" applyFont="1"/>
    <xf numFmtId="0" fontId="2" fillId="4" borderId="0" xfId="3" applyFill="1"/>
    <xf numFmtId="0" fontId="0" fillId="4" borderId="0" xfId="0" applyFill="1"/>
    <xf numFmtId="0" fontId="24" fillId="4" borderId="0" xfId="3" applyFont="1" applyFill="1" applyAlignment="1">
      <alignment vertical="center"/>
    </xf>
    <xf numFmtId="0" fontId="25" fillId="4" borderId="0" xfId="3" applyFont="1" applyFill="1"/>
    <xf numFmtId="0" fontId="26" fillId="4" borderId="0" xfId="3" applyFont="1" applyFill="1" applyAlignment="1">
      <alignment vertical="center"/>
    </xf>
    <xf numFmtId="0" fontId="17" fillId="0" borderId="0" xfId="3" applyFont="1" applyAlignment="1">
      <alignment vertical="center"/>
    </xf>
    <xf numFmtId="0" fontId="25" fillId="0" borderId="0" xfId="3" applyFont="1"/>
    <xf numFmtId="0" fontId="19" fillId="4" borderId="0" xfId="3" applyFont="1" applyFill="1" applyAlignment="1">
      <alignment vertical="center"/>
    </xf>
    <xf numFmtId="0" fontId="17" fillId="0" borderId="2" xfId="3" applyFont="1" applyBorder="1" applyAlignment="1">
      <alignment vertical="center" wrapText="1"/>
    </xf>
    <xf numFmtId="0" fontId="19" fillId="0" borderId="3" xfId="3" applyFont="1" applyBorder="1" applyAlignment="1">
      <alignment vertical="center" wrapText="1"/>
    </xf>
    <xf numFmtId="0" fontId="18" fillId="4" borderId="0" xfId="0" applyFont="1" applyFill="1"/>
    <xf numFmtId="0" fontId="19" fillId="0" borderId="2" xfId="3" applyFont="1" applyBorder="1" applyAlignment="1">
      <alignment vertical="center" wrapText="1"/>
    </xf>
    <xf numFmtId="0" fontId="19" fillId="0" borderId="1" xfId="3" applyFont="1" applyBorder="1" applyAlignment="1">
      <alignment vertical="center" wrapText="1"/>
    </xf>
    <xf numFmtId="0" fontId="17" fillId="0" borderId="3" xfId="3" applyFont="1" applyBorder="1" applyAlignment="1">
      <alignment vertical="center" wrapText="1"/>
    </xf>
    <xf numFmtId="0" fontId="26" fillId="0" borderId="0" xfId="3" applyFont="1" applyAlignment="1">
      <alignment vertical="center"/>
    </xf>
    <xf numFmtId="0" fontId="29" fillId="0" borderId="0" xfId="3" applyFont="1" applyAlignment="1">
      <alignment vertical="center"/>
    </xf>
    <xf numFmtId="0" fontId="30" fillId="0" borderId="0" xfId="3" applyFont="1"/>
    <xf numFmtId="0" fontId="25" fillId="0" borderId="0" xfId="3" applyFont="1" applyAlignment="1">
      <alignment vertical="center"/>
    </xf>
    <xf numFmtId="43" fontId="25" fillId="0" borderId="0" xfId="3" applyNumberFormat="1" applyFont="1"/>
    <xf numFmtId="3" fontId="19" fillId="0" borderId="0" xfId="3" applyNumberFormat="1" applyFont="1" applyAlignment="1">
      <alignment vertical="center" wrapText="1"/>
    </xf>
    <xf numFmtId="3" fontId="17" fillId="0" borderId="0" xfId="3" applyNumberFormat="1" applyFont="1" applyAlignment="1">
      <alignment vertical="center" wrapText="1"/>
    </xf>
    <xf numFmtId="0" fontId="28" fillId="0" borderId="0" xfId="3" applyFont="1" applyAlignment="1">
      <alignment vertical="center" wrapText="1"/>
    </xf>
    <xf numFmtId="43" fontId="19" fillId="0" borderId="1" xfId="1" applyFont="1" applyBorder="1" applyAlignment="1">
      <alignment horizontal="right" vertical="center" wrapText="1"/>
    </xf>
    <xf numFmtId="43" fontId="19" fillId="0" borderId="2" xfId="1" applyFont="1" applyBorder="1" applyAlignment="1">
      <alignment horizontal="right" vertical="center" wrapText="1"/>
    </xf>
    <xf numFmtId="164" fontId="17" fillId="0" borderId="2" xfId="1" applyNumberFormat="1" applyFont="1" applyBorder="1" applyAlignment="1">
      <alignment horizontal="right" vertical="center" wrapText="1"/>
    </xf>
    <xf numFmtId="0" fontId="18" fillId="2" borderId="0" xfId="0" applyFont="1" applyFill="1"/>
    <xf numFmtId="0" fontId="32" fillId="2" borderId="0" xfId="0" applyFont="1" applyFill="1" applyAlignment="1">
      <alignment vertical="center"/>
    </xf>
    <xf numFmtId="0" fontId="20" fillId="2" borderId="0" xfId="0" applyFont="1" applyFill="1" applyAlignment="1">
      <alignment vertical="center"/>
    </xf>
    <xf numFmtId="10" fontId="18" fillId="2" borderId="0" xfId="0" applyNumberFormat="1" applyFont="1" applyFill="1"/>
    <xf numFmtId="0" fontId="32" fillId="0" borderId="0" xfId="0" applyFont="1" applyAlignment="1">
      <alignment vertical="center"/>
    </xf>
    <xf numFmtId="0" fontId="15" fillId="2" borderId="0" xfId="0" applyFont="1" applyFill="1" applyAlignment="1">
      <alignment vertical="center"/>
    </xf>
    <xf numFmtId="0" fontId="20" fillId="2" borderId="0" xfId="0" applyFont="1" applyFill="1" applyAlignment="1">
      <alignment vertical="center" wrapText="1"/>
    </xf>
    <xf numFmtId="0" fontId="17" fillId="2" borderId="0" xfId="3" applyFont="1" applyFill="1" applyAlignment="1">
      <alignment vertical="center" wrapText="1"/>
    </xf>
    <xf numFmtId="166" fontId="5" fillId="2" borderId="0" xfId="3" applyNumberFormat="1" applyFont="1" applyFill="1" applyAlignment="1">
      <alignment horizontal="right" vertical="center" wrapText="1"/>
    </xf>
    <xf numFmtId="166" fontId="4" fillId="2" borderId="0" xfId="3" applyNumberFormat="1" applyFont="1" applyFill="1" applyAlignment="1">
      <alignment horizontal="right" vertical="center" wrapText="1"/>
    </xf>
    <xf numFmtId="0" fontId="6" fillId="2" borderId="0" xfId="3" applyFont="1" applyFill="1" applyAlignment="1">
      <alignment horizontal="right" vertical="center" wrapText="1"/>
    </xf>
    <xf numFmtId="3" fontId="20" fillId="2" borderId="0" xfId="0" applyNumberFormat="1" applyFont="1" applyFill="1" applyAlignment="1">
      <alignment vertical="center" wrapText="1"/>
    </xf>
    <xf numFmtId="0" fontId="21" fillId="2" borderId="0" xfId="2" applyFont="1" applyFill="1" applyAlignment="1">
      <alignment vertical="center" wrapText="1"/>
    </xf>
    <xf numFmtId="0" fontId="12" fillId="2" borderId="0" xfId="0" applyFont="1" applyFill="1" applyAlignment="1">
      <alignment vertical="center"/>
    </xf>
    <xf numFmtId="0" fontId="0" fillId="7" borderId="0" xfId="0" applyFill="1"/>
    <xf numFmtId="0" fontId="16" fillId="6" borderId="13" xfId="3" applyFont="1" applyFill="1" applyBorder="1" applyAlignment="1">
      <alignment horizontal="right" vertical="center" wrapText="1"/>
    </xf>
    <xf numFmtId="0" fontId="33" fillId="0" borderId="0" xfId="3" applyFont="1" applyAlignment="1">
      <alignment vertical="center"/>
    </xf>
    <xf numFmtId="9" fontId="25" fillId="0" borderId="0" xfId="3" applyNumberFormat="1" applyFont="1"/>
    <xf numFmtId="0" fontId="34" fillId="2" borderId="0" xfId="0" applyFont="1" applyFill="1" applyAlignment="1">
      <alignment vertical="center"/>
    </xf>
    <xf numFmtId="2" fontId="20" fillId="2" borderId="0" xfId="0" applyNumberFormat="1" applyFont="1" applyFill="1" applyAlignment="1">
      <alignment vertical="center"/>
    </xf>
    <xf numFmtId="3" fontId="20" fillId="2" borderId="0" xfId="0" applyNumberFormat="1" applyFont="1" applyFill="1" applyAlignment="1">
      <alignment horizontal="right" vertical="center" wrapText="1"/>
    </xf>
    <xf numFmtId="1" fontId="35" fillId="0" borderId="3" xfId="0" applyNumberFormat="1" applyFont="1" applyBorder="1"/>
    <xf numFmtId="0" fontId="16" fillId="6" borderId="10" xfId="3" applyFont="1" applyFill="1" applyBorder="1" applyAlignment="1">
      <alignment horizontal="center" vertical="center" wrapText="1"/>
    </xf>
    <xf numFmtId="0" fontId="16" fillId="6" borderId="12" xfId="3" applyFont="1" applyFill="1" applyBorder="1" applyAlignment="1">
      <alignment horizontal="center" vertical="center" wrapText="1"/>
    </xf>
    <xf numFmtId="0" fontId="19" fillId="2" borderId="14" xfId="3" applyFont="1" applyFill="1" applyBorder="1" applyAlignment="1">
      <alignment horizontal="left" vertical="center" wrapText="1"/>
    </xf>
    <xf numFmtId="0" fontId="17" fillId="2" borderId="14" xfId="3" applyFont="1" applyFill="1" applyBorder="1" applyAlignment="1">
      <alignment horizontal="left" vertical="center" wrapText="1"/>
    </xf>
    <xf numFmtId="0" fontId="36" fillId="0" borderId="0" xfId="0" applyFont="1" applyAlignment="1">
      <alignment wrapText="1"/>
    </xf>
    <xf numFmtId="0" fontId="37" fillId="2" borderId="14" xfId="3" applyFont="1" applyFill="1" applyBorder="1" applyAlignment="1">
      <alignment horizontal="left" vertical="center" wrapText="1"/>
    </xf>
    <xf numFmtId="0" fontId="19" fillId="2" borderId="15" xfId="3" applyFont="1" applyFill="1" applyBorder="1" applyAlignment="1">
      <alignment horizontal="left" vertical="center" wrapText="1"/>
    </xf>
    <xf numFmtId="0" fontId="3" fillId="0" borderId="0" xfId="2"/>
    <xf numFmtId="0" fontId="38" fillId="4" borderId="0" xfId="3" applyFont="1" applyFill="1" applyAlignment="1">
      <alignment vertical="center"/>
    </xf>
    <xf numFmtId="0" fontId="29" fillId="4" borderId="0" xfId="3" applyFont="1" applyFill="1" applyAlignment="1">
      <alignment vertical="center"/>
    </xf>
    <xf numFmtId="0" fontId="39" fillId="4" borderId="0" xfId="3" applyFont="1" applyFill="1" applyAlignment="1">
      <alignment vertical="center"/>
    </xf>
    <xf numFmtId="0" fontId="40" fillId="0" borderId="0" xfId="2" applyFont="1"/>
    <xf numFmtId="0" fontId="19" fillId="0" borderId="19" xfId="3" applyFont="1" applyBorder="1" applyAlignment="1">
      <alignment vertical="center" wrapText="1"/>
    </xf>
    <xf numFmtId="0" fontId="17" fillId="0" borderId="21" xfId="3" applyFont="1" applyBorder="1" applyAlignment="1">
      <alignment vertical="center" wrapText="1"/>
    </xf>
    <xf numFmtId="0" fontId="0" fillId="8" borderId="2" xfId="0" applyFill="1" applyBorder="1"/>
    <xf numFmtId="4" fontId="17" fillId="8" borderId="2" xfId="3" applyNumberFormat="1" applyFont="1" applyFill="1" applyBorder="1" applyAlignment="1">
      <alignment horizontal="right" vertical="center" wrapText="1"/>
    </xf>
    <xf numFmtId="0" fontId="17" fillId="0" borderId="25" xfId="3" applyFont="1" applyBorder="1" applyAlignment="1">
      <alignment vertical="center" wrapText="1"/>
    </xf>
    <xf numFmtId="0" fontId="19" fillId="0" borderId="26" xfId="3" applyFont="1" applyBorder="1" applyAlignment="1">
      <alignment vertical="center" wrapText="1"/>
    </xf>
    <xf numFmtId="0" fontId="17" fillId="0" borderId="14" xfId="3" applyFont="1" applyBorder="1" applyAlignment="1">
      <alignment vertical="center" wrapText="1"/>
    </xf>
    <xf numFmtId="43" fontId="17" fillId="8" borderId="2" xfId="1" applyFont="1" applyFill="1" applyBorder="1" applyAlignment="1">
      <alignment horizontal="right" vertical="center" wrapText="1"/>
    </xf>
    <xf numFmtId="43" fontId="17" fillId="2" borderId="3" xfId="1" applyFont="1" applyFill="1" applyBorder="1" applyAlignment="1">
      <alignment horizontal="right" vertical="center" wrapText="1"/>
    </xf>
    <xf numFmtId="43" fontId="19" fillId="2" borderId="1" xfId="1" applyFont="1" applyFill="1" applyBorder="1" applyAlignment="1">
      <alignment horizontal="right" vertical="center" wrapText="1"/>
    </xf>
    <xf numFmtId="43" fontId="19" fillId="2" borderId="2" xfId="1" applyFont="1" applyFill="1" applyBorder="1" applyAlignment="1">
      <alignment horizontal="right" vertical="center" wrapText="1"/>
    </xf>
    <xf numFmtId="43" fontId="17" fillId="2" borderId="2" xfId="1" applyFont="1" applyFill="1" applyBorder="1" applyAlignment="1">
      <alignment horizontal="right" vertical="center" wrapText="1"/>
    </xf>
    <xf numFmtId="0" fontId="17" fillId="0" borderId="19" xfId="3" applyFont="1" applyBorder="1" applyAlignment="1">
      <alignment vertical="center" wrapText="1"/>
    </xf>
    <xf numFmtId="0" fontId="19" fillId="0" borderId="21" xfId="3" applyFont="1" applyBorder="1" applyAlignment="1">
      <alignment vertical="center" wrapText="1"/>
    </xf>
    <xf numFmtId="0" fontId="16" fillId="5" borderId="24" xfId="3" applyFont="1" applyFill="1" applyBorder="1" applyAlignment="1">
      <alignment horizontal="left" vertical="center" wrapText="1"/>
    </xf>
    <xf numFmtId="0" fontId="9" fillId="8" borderId="0" xfId="0" applyFont="1" applyFill="1" applyAlignment="1">
      <alignment vertical="center"/>
    </xf>
    <xf numFmtId="0" fontId="9" fillId="0" borderId="0" xfId="0" applyFont="1" applyAlignment="1">
      <alignment vertical="center"/>
    </xf>
    <xf numFmtId="0" fontId="15" fillId="0" borderId="0" xfId="0" applyFont="1" applyAlignment="1">
      <alignment vertical="center"/>
    </xf>
    <xf numFmtId="0" fontId="19" fillId="2" borderId="25" xfId="3" applyFont="1" applyFill="1" applyBorder="1" applyAlignment="1">
      <alignment vertical="center" wrapText="1"/>
    </xf>
    <xf numFmtId="0" fontId="0" fillId="0" borderId="25" xfId="0" applyBorder="1"/>
    <xf numFmtId="164" fontId="37" fillId="0" borderId="25" xfId="1" applyNumberFormat="1" applyFont="1" applyFill="1" applyBorder="1" applyAlignment="1">
      <alignment horizontal="right" vertical="center" wrapText="1"/>
    </xf>
    <xf numFmtId="164" fontId="37" fillId="0" borderId="26" xfId="1" applyNumberFormat="1" applyFont="1" applyFill="1" applyBorder="1" applyAlignment="1">
      <alignment horizontal="right" vertical="center" wrapText="1"/>
    </xf>
    <xf numFmtId="0" fontId="19" fillId="2" borderId="24" xfId="3" applyFont="1" applyFill="1" applyBorder="1" applyAlignment="1">
      <alignment vertical="center" wrapText="1"/>
    </xf>
    <xf numFmtId="164" fontId="16" fillId="0" borderId="24" xfId="1" applyNumberFormat="1" applyFont="1" applyFill="1" applyBorder="1" applyAlignment="1">
      <alignment horizontal="right" vertical="center" wrapText="1"/>
    </xf>
    <xf numFmtId="0" fontId="19" fillId="2" borderId="26" xfId="3" applyFont="1" applyFill="1" applyBorder="1" applyAlignment="1">
      <alignment vertical="center" wrapText="1"/>
    </xf>
    <xf numFmtId="0" fontId="17" fillId="2" borderId="25" xfId="3" applyFont="1" applyFill="1" applyBorder="1" applyAlignment="1">
      <alignment vertical="center" wrapText="1"/>
    </xf>
    <xf numFmtId="0" fontId="17" fillId="2" borderId="26" xfId="3" applyFont="1" applyFill="1" applyBorder="1" applyAlignment="1">
      <alignment vertical="center" wrapText="1"/>
    </xf>
    <xf numFmtId="0" fontId="17" fillId="2" borderId="14" xfId="3" applyFont="1" applyFill="1" applyBorder="1" applyAlignment="1">
      <alignment vertical="center" wrapText="1"/>
    </xf>
    <xf numFmtId="0" fontId="17" fillId="2" borderId="15" xfId="3" applyFont="1" applyFill="1" applyBorder="1" applyAlignment="1">
      <alignment vertical="center" wrapText="1"/>
    </xf>
    <xf numFmtId="0" fontId="20" fillId="2" borderId="0" xfId="0" applyFont="1" applyFill="1" applyAlignment="1">
      <alignment horizontal="right"/>
    </xf>
    <xf numFmtId="0" fontId="19" fillId="2" borderId="14" xfId="3" applyFont="1" applyFill="1" applyBorder="1" applyAlignment="1">
      <alignment vertical="center" wrapText="1"/>
    </xf>
    <xf numFmtId="2" fontId="17" fillId="2" borderId="25" xfId="3" applyNumberFormat="1" applyFont="1" applyFill="1" applyBorder="1" applyAlignment="1">
      <alignment vertical="center" wrapText="1"/>
    </xf>
    <xf numFmtId="165" fontId="17" fillId="2" borderId="25" xfId="3" applyNumberFormat="1" applyFont="1" applyFill="1" applyBorder="1" applyAlignment="1">
      <alignment vertical="center" wrapText="1"/>
    </xf>
    <xf numFmtId="165" fontId="17" fillId="2" borderId="26" xfId="3" applyNumberFormat="1" applyFont="1" applyFill="1" applyBorder="1" applyAlignment="1">
      <alignment vertical="center" wrapText="1"/>
    </xf>
    <xf numFmtId="166" fontId="20" fillId="0" borderId="26" xfId="0" applyNumberFormat="1" applyFont="1" applyBorder="1" applyAlignment="1">
      <alignment horizontal="right" vertical="center" wrapText="1"/>
    </xf>
    <xf numFmtId="0" fontId="17" fillId="0" borderId="26" xfId="3" applyFont="1" applyBorder="1" applyAlignment="1">
      <alignment vertical="center" wrapText="1"/>
    </xf>
    <xf numFmtId="0" fontId="19" fillId="2" borderId="12" xfId="3" applyFont="1" applyFill="1" applyBorder="1" applyAlignment="1">
      <alignment vertical="center" wrapText="1"/>
    </xf>
    <xf numFmtId="2" fontId="17" fillId="2" borderId="14" xfId="3" applyNumberFormat="1" applyFont="1" applyFill="1" applyBorder="1" applyAlignment="1">
      <alignment vertical="center" wrapText="1"/>
    </xf>
    <xf numFmtId="2" fontId="19" fillId="2" borderId="24" xfId="3" applyNumberFormat="1" applyFont="1" applyFill="1" applyBorder="1" applyAlignment="1">
      <alignment vertical="center" wrapText="1"/>
    </xf>
    <xf numFmtId="0" fontId="3" fillId="0" borderId="0" xfId="2" applyFill="1" applyAlignment="1">
      <alignment vertical="center"/>
    </xf>
    <xf numFmtId="3" fontId="17" fillId="8" borderId="25" xfId="3" applyNumberFormat="1" applyFont="1" applyFill="1" applyBorder="1" applyAlignment="1">
      <alignment horizontal="right" vertical="center" wrapText="1"/>
    </xf>
    <xf numFmtId="3" fontId="17" fillId="8" borderId="26" xfId="3" applyNumberFormat="1" applyFont="1" applyFill="1" applyBorder="1" applyAlignment="1">
      <alignment horizontal="right" vertical="center" wrapText="1"/>
    </xf>
    <xf numFmtId="16" fontId="0" fillId="2" borderId="0" xfId="0" applyNumberFormat="1" applyFill="1"/>
    <xf numFmtId="0" fontId="19" fillId="0" borderId="0" xfId="3" applyFont="1" applyAlignment="1">
      <alignment vertical="center" wrapText="1"/>
    </xf>
    <xf numFmtId="169" fontId="19" fillId="2" borderId="1" xfId="1" applyNumberFormat="1" applyFont="1" applyFill="1" applyBorder="1" applyAlignment="1">
      <alignment horizontal="right" vertical="center" wrapText="1"/>
    </xf>
    <xf numFmtId="0" fontId="19" fillId="0" borderId="7" xfId="3" applyFont="1" applyBorder="1" applyAlignment="1">
      <alignment vertical="center" wrapText="1"/>
    </xf>
    <xf numFmtId="0" fontId="19" fillId="0" borderId="6" xfId="3" applyFont="1" applyBorder="1" applyAlignment="1">
      <alignment vertical="center" wrapText="1"/>
    </xf>
    <xf numFmtId="0" fontId="17" fillId="0" borderId="37" xfId="3" applyFont="1" applyBorder="1" applyAlignment="1">
      <alignment vertical="center" wrapText="1"/>
    </xf>
    <xf numFmtId="43" fontId="17" fillId="8" borderId="17" xfId="1" applyFont="1" applyFill="1" applyBorder="1" applyAlignment="1">
      <alignment horizontal="right" vertical="center" wrapText="1"/>
    </xf>
    <xf numFmtId="43" fontId="17" fillId="8" borderId="18" xfId="1" applyFont="1" applyFill="1" applyBorder="1" applyAlignment="1">
      <alignment horizontal="right" vertical="center" wrapText="1"/>
    </xf>
    <xf numFmtId="43" fontId="17" fillId="8" borderId="20" xfId="1" applyFont="1" applyFill="1" applyBorder="1" applyAlignment="1">
      <alignment horizontal="right" vertical="center" wrapText="1"/>
    </xf>
    <xf numFmtId="43" fontId="17" fillId="8" borderId="22" xfId="1" applyFont="1" applyFill="1" applyBorder="1" applyAlignment="1">
      <alignment horizontal="right" vertical="center" wrapText="1"/>
    </xf>
    <xf numFmtId="43" fontId="17" fillId="8" borderId="23" xfId="1" applyFont="1" applyFill="1" applyBorder="1" applyAlignment="1">
      <alignment horizontal="right" vertical="center" wrapText="1"/>
    </xf>
    <xf numFmtId="0" fontId="19" fillId="0" borderId="37" xfId="3" applyFont="1" applyBorder="1" applyAlignment="1">
      <alignment vertical="center" wrapText="1"/>
    </xf>
    <xf numFmtId="0" fontId="31" fillId="0" borderId="19" xfId="3" applyFont="1" applyBorder="1" applyAlignment="1">
      <alignment vertical="center" wrapText="1"/>
    </xf>
    <xf numFmtId="0" fontId="19" fillId="0" borderId="25" xfId="3" applyFont="1" applyBorder="1" applyAlignment="1">
      <alignment vertical="center" wrapText="1"/>
    </xf>
    <xf numFmtId="1" fontId="35" fillId="0" borderId="0" xfId="0" applyNumberFormat="1" applyFont="1"/>
    <xf numFmtId="3" fontId="15" fillId="0" borderId="25" xfId="0" applyNumberFormat="1" applyFont="1" applyBorder="1"/>
    <xf numFmtId="3" fontId="20" fillId="0" borderId="25" xfId="0" applyNumberFormat="1" applyFont="1" applyBorder="1"/>
    <xf numFmtId="3" fontId="20" fillId="0" borderId="26" xfId="0" applyNumberFormat="1" applyFont="1" applyBorder="1"/>
    <xf numFmtId="0" fontId="15" fillId="0" borderId="25" xfId="0" applyFont="1" applyBorder="1" applyAlignment="1">
      <alignment horizontal="right"/>
    </xf>
    <xf numFmtId="0" fontId="20" fillId="0" borderId="25" xfId="0" applyFont="1" applyBorder="1" applyAlignment="1">
      <alignment horizontal="right"/>
    </xf>
    <xf numFmtId="0" fontId="20" fillId="0" borderId="26" xfId="0" applyFont="1" applyBorder="1" applyAlignment="1">
      <alignment horizontal="right"/>
    </xf>
    <xf numFmtId="168" fontId="19" fillId="0" borderId="25" xfId="3" applyNumberFormat="1" applyFont="1" applyBorder="1" applyAlignment="1">
      <alignment horizontal="right" vertical="center" wrapText="1"/>
    </xf>
    <xf numFmtId="168" fontId="17" fillId="0" borderId="25" xfId="3" applyNumberFormat="1" applyFont="1" applyBorder="1" applyAlignment="1">
      <alignment horizontal="right" vertical="center" wrapText="1"/>
    </xf>
    <xf numFmtId="168" fontId="20" fillId="0" borderId="26" xfId="0" applyNumberFormat="1" applyFont="1" applyBorder="1" applyAlignment="1">
      <alignment horizontal="right" vertical="center" wrapText="1"/>
    </xf>
    <xf numFmtId="168" fontId="5" fillId="0" borderId="14" xfId="3" applyNumberFormat="1" applyFont="1" applyBorder="1" applyAlignment="1">
      <alignment horizontal="right" vertical="center" wrapText="1"/>
    </xf>
    <xf numFmtId="168" fontId="4" fillId="0" borderId="14" xfId="3" applyNumberFormat="1" applyFont="1" applyBorder="1" applyAlignment="1">
      <alignment horizontal="right" vertical="center" wrapText="1"/>
    </xf>
    <xf numFmtId="168" fontId="11" fillId="0" borderId="15" xfId="0" applyNumberFormat="1" applyFont="1" applyBorder="1" applyAlignment="1">
      <alignment horizontal="right" vertical="center" wrapText="1"/>
    </xf>
    <xf numFmtId="0" fontId="20" fillId="0" borderId="25" xfId="0" applyFont="1" applyBorder="1"/>
    <xf numFmtId="0" fontId="20" fillId="0" borderId="26" xfId="0" applyFont="1" applyBorder="1"/>
    <xf numFmtId="0" fontId="15" fillId="0" borderId="25" xfId="0" applyFont="1" applyBorder="1"/>
    <xf numFmtId="168" fontId="19" fillId="0" borderId="33" xfId="3" applyNumberFormat="1" applyFont="1" applyBorder="1" applyAlignment="1">
      <alignment horizontal="right" vertical="center" wrapText="1"/>
    </xf>
    <xf numFmtId="168" fontId="17" fillId="0" borderId="33" xfId="3" applyNumberFormat="1" applyFont="1" applyBorder="1" applyAlignment="1">
      <alignment horizontal="right" vertical="center" wrapText="1"/>
    </xf>
    <xf numFmtId="168" fontId="20" fillId="0" borderId="34" xfId="0" applyNumberFormat="1" applyFont="1" applyBorder="1" applyAlignment="1">
      <alignment horizontal="right" vertical="center" wrapText="1"/>
    </xf>
    <xf numFmtId="165" fontId="19" fillId="0" borderId="24" xfId="3" applyNumberFormat="1" applyFont="1" applyBorder="1" applyAlignment="1">
      <alignment horizontal="right" vertical="center" wrapText="1"/>
    </xf>
    <xf numFmtId="10" fontId="17" fillId="0" borderId="25" xfId="3" applyNumberFormat="1" applyFont="1" applyBorder="1" applyAlignment="1">
      <alignment horizontal="right" vertical="center" wrapText="1"/>
    </xf>
    <xf numFmtId="10" fontId="17" fillId="0" borderId="26" xfId="3" applyNumberFormat="1" applyFont="1" applyBorder="1" applyAlignment="1">
      <alignment horizontal="right" vertical="center" wrapText="1"/>
    </xf>
    <xf numFmtId="0" fontId="15" fillId="0" borderId="25" xfId="0" applyFont="1" applyBorder="1" applyAlignment="1">
      <alignment horizontal="right" vertical="center"/>
    </xf>
    <xf numFmtId="165" fontId="20" fillId="0" borderId="25" xfId="0" applyNumberFormat="1" applyFont="1" applyBorder="1"/>
    <xf numFmtId="165" fontId="20" fillId="0" borderId="26" xfId="0" applyNumberFormat="1" applyFont="1" applyBorder="1"/>
    <xf numFmtId="165" fontId="17" fillId="0" borderId="25" xfId="3" applyNumberFormat="1" applyFont="1" applyBorder="1" applyAlignment="1">
      <alignment vertical="center" wrapText="1"/>
    </xf>
    <xf numFmtId="165" fontId="17" fillId="0" borderId="26" xfId="3" applyNumberFormat="1" applyFont="1" applyBorder="1" applyAlignment="1">
      <alignment vertical="center" wrapText="1"/>
    </xf>
    <xf numFmtId="165" fontId="17" fillId="0" borderId="25" xfId="3" applyNumberFormat="1" applyFont="1" applyBorder="1" applyAlignment="1">
      <alignment horizontal="right" vertical="center" wrapText="1"/>
    </xf>
    <xf numFmtId="165" fontId="20" fillId="0" borderId="26" xfId="0" applyNumberFormat="1" applyFont="1" applyBorder="1" applyAlignment="1">
      <alignment horizontal="right" vertical="center" wrapText="1"/>
    </xf>
    <xf numFmtId="166" fontId="17" fillId="0" borderId="25" xfId="3" applyNumberFormat="1" applyFont="1" applyBorder="1" applyAlignment="1">
      <alignment vertical="center" wrapText="1"/>
    </xf>
    <xf numFmtId="166" fontId="17" fillId="0" borderId="25" xfId="3" applyNumberFormat="1" applyFont="1" applyBorder="1" applyAlignment="1">
      <alignment horizontal="right" vertical="center" wrapText="1"/>
    </xf>
    <xf numFmtId="166" fontId="15" fillId="0" borderId="26" xfId="0" applyNumberFormat="1" applyFont="1" applyBorder="1" applyAlignment="1">
      <alignment horizontal="right" vertical="center" wrapText="1"/>
    </xf>
    <xf numFmtId="9" fontId="17" fillId="0" borderId="2" xfId="8" applyFont="1" applyFill="1" applyBorder="1" applyAlignment="1">
      <alignment vertical="center" wrapText="1"/>
    </xf>
    <xf numFmtId="9" fontId="17" fillId="0" borderId="3" xfId="8" applyFont="1" applyFill="1" applyBorder="1" applyAlignment="1">
      <alignment vertical="center" wrapText="1"/>
    </xf>
    <xf numFmtId="10" fontId="16" fillId="0" borderId="16" xfId="3" applyNumberFormat="1" applyFont="1" applyBorder="1" applyAlignment="1">
      <alignment horizontal="right" vertical="center" wrapText="1"/>
    </xf>
    <xf numFmtId="167" fontId="37" fillId="0" borderId="8" xfId="3" applyNumberFormat="1" applyFont="1" applyBorder="1" applyAlignment="1">
      <alignment horizontal="right" vertical="center" wrapText="1"/>
    </xf>
    <xf numFmtId="167" fontId="16" fillId="0" borderId="8" xfId="3" applyNumberFormat="1" applyFont="1" applyBorder="1" applyAlignment="1">
      <alignment horizontal="right" vertical="center" wrapText="1"/>
    </xf>
    <xf numFmtId="0" fontId="44" fillId="0" borderId="0" xfId="3" applyFont="1"/>
    <xf numFmtId="1" fontId="45" fillId="0" borderId="3" xfId="0" applyNumberFormat="1" applyFont="1" applyBorder="1"/>
    <xf numFmtId="170" fontId="22" fillId="8" borderId="2" xfId="0" applyNumberFormat="1" applyFont="1" applyFill="1" applyBorder="1" applyAlignment="1">
      <alignment vertical="center"/>
    </xf>
    <xf numFmtId="0" fontId="46" fillId="0" borderId="0" xfId="0" applyFont="1"/>
    <xf numFmtId="0" fontId="47" fillId="0" borderId="0" xfId="3" applyFont="1"/>
    <xf numFmtId="170" fontId="22" fillId="7" borderId="2" xfId="0" applyNumberFormat="1" applyFont="1" applyFill="1" applyBorder="1" applyAlignment="1">
      <alignment vertical="center"/>
    </xf>
    <xf numFmtId="170" fontId="17" fillId="7" borderId="2" xfId="3" applyNumberFormat="1" applyFont="1" applyFill="1" applyBorder="1" applyAlignment="1">
      <alignment horizontal="right" vertical="center" wrapText="1"/>
    </xf>
    <xf numFmtId="3" fontId="37" fillId="0" borderId="25" xfId="0" applyNumberFormat="1" applyFont="1" applyBorder="1" applyAlignment="1">
      <alignment horizontal="right"/>
    </xf>
    <xf numFmtId="3" fontId="15" fillId="0" borderId="25" xfId="0" applyNumberFormat="1" applyFont="1" applyBorder="1" applyAlignment="1">
      <alignment horizontal="right"/>
    </xf>
    <xf numFmtId="3" fontId="20" fillId="0" borderId="25" xfId="0" applyNumberFormat="1" applyFont="1" applyBorder="1" applyAlignment="1">
      <alignment horizontal="right"/>
    </xf>
    <xf numFmtId="3" fontId="20" fillId="0" borderId="26" xfId="0" applyNumberFormat="1" applyFont="1" applyBorder="1" applyAlignment="1">
      <alignment horizontal="right"/>
    </xf>
    <xf numFmtId="3" fontId="17" fillId="0" borderId="25" xfId="3" applyNumberFormat="1" applyFont="1" applyBorder="1" applyAlignment="1">
      <alignment horizontal="right" vertical="center" wrapText="1"/>
    </xf>
    <xf numFmtId="3" fontId="17" fillId="0" borderId="25" xfId="3" applyNumberFormat="1" applyFont="1" applyBorder="1" applyAlignment="1">
      <alignment vertical="center" wrapText="1"/>
    </xf>
    <xf numFmtId="1" fontId="17" fillId="0" borderId="25" xfId="3" applyNumberFormat="1" applyFont="1" applyBorder="1" applyAlignment="1">
      <alignment horizontal="right" vertical="center" wrapText="1"/>
    </xf>
    <xf numFmtId="2" fontId="17" fillId="0" borderId="25" xfId="3" applyNumberFormat="1" applyFont="1" applyBorder="1" applyAlignment="1">
      <alignment horizontal="right" vertical="center" wrapText="1"/>
    </xf>
    <xf numFmtId="1" fontId="20" fillId="0" borderId="26" xfId="0" applyNumberFormat="1" applyFont="1" applyBorder="1" applyAlignment="1">
      <alignment horizontal="right" vertical="center" wrapText="1"/>
    </xf>
    <xf numFmtId="2" fontId="20" fillId="0" borderId="26" xfId="0" applyNumberFormat="1" applyFont="1" applyBorder="1" applyAlignment="1">
      <alignment horizontal="right" vertical="center" wrapText="1"/>
    </xf>
    <xf numFmtId="0" fontId="17" fillId="0" borderId="24" xfId="3" applyFont="1" applyBorder="1" applyAlignment="1">
      <alignment vertical="center" wrapText="1"/>
    </xf>
    <xf numFmtId="0" fontId="19" fillId="0" borderId="24" xfId="3" applyFont="1" applyBorder="1" applyAlignment="1">
      <alignment vertical="center" wrapText="1"/>
    </xf>
    <xf numFmtId="164" fontId="20" fillId="0" borderId="2" xfId="1" applyNumberFormat="1" applyFont="1" applyFill="1" applyBorder="1"/>
    <xf numFmtId="2" fontId="17" fillId="0" borderId="25" xfId="3" applyNumberFormat="1" applyFont="1" applyBorder="1" applyAlignment="1">
      <alignment vertical="center" wrapText="1"/>
    </xf>
    <xf numFmtId="43" fontId="17" fillId="0" borderId="2" xfId="1" applyFont="1" applyFill="1" applyBorder="1" applyAlignment="1">
      <alignment horizontal="right" vertical="center" wrapText="1"/>
    </xf>
    <xf numFmtId="43" fontId="17" fillId="0" borderId="3" xfId="1" applyFont="1" applyFill="1" applyBorder="1" applyAlignment="1">
      <alignment horizontal="right" vertical="center" wrapText="1"/>
    </xf>
    <xf numFmtId="3" fontId="17" fillId="8" borderId="24" xfId="3" applyNumberFormat="1" applyFont="1" applyFill="1" applyBorder="1" applyAlignment="1">
      <alignment horizontal="right" vertical="center" wrapText="1"/>
    </xf>
    <xf numFmtId="4" fontId="15" fillId="0" borderId="41" xfId="0" applyNumberFormat="1" applyFont="1" applyBorder="1" applyAlignment="1">
      <alignment horizontal="right" vertical="center"/>
    </xf>
    <xf numFmtId="4" fontId="15" fillId="0" borderId="25" xfId="0" applyNumberFormat="1" applyFont="1" applyBorder="1" applyAlignment="1">
      <alignment horizontal="right" vertical="center"/>
    </xf>
    <xf numFmtId="4" fontId="20" fillId="0" borderId="41" xfId="0" applyNumberFormat="1" applyFont="1" applyBorder="1" applyAlignment="1">
      <alignment horizontal="right" vertical="center"/>
    </xf>
    <xf numFmtId="4" fontId="20" fillId="0" borderId="25" xfId="0" applyNumberFormat="1" applyFont="1" applyBorder="1" applyAlignment="1">
      <alignment horizontal="right"/>
    </xf>
    <xf numFmtId="4" fontId="20" fillId="0" borderId="44" xfId="0" applyNumberFormat="1" applyFont="1" applyBorder="1" applyAlignment="1">
      <alignment horizontal="right" vertical="center"/>
    </xf>
    <xf numFmtId="4" fontId="20" fillId="0" borderId="26" xfId="0" applyNumberFormat="1" applyFont="1" applyBorder="1" applyAlignment="1">
      <alignment horizontal="right"/>
    </xf>
    <xf numFmtId="2" fontId="15" fillId="0" borderId="25" xfId="0" applyNumberFormat="1" applyFont="1" applyBorder="1" applyAlignment="1">
      <alignment horizontal="right" vertical="center"/>
    </xf>
    <xf numFmtId="2" fontId="20" fillId="0" borderId="25" xfId="0" applyNumberFormat="1" applyFont="1" applyBorder="1" applyAlignment="1">
      <alignment horizontal="right"/>
    </xf>
    <xf numFmtId="2" fontId="20" fillId="0" borderId="26" xfId="0" applyNumberFormat="1" applyFont="1" applyBorder="1" applyAlignment="1">
      <alignment horizontal="right"/>
    </xf>
    <xf numFmtId="3" fontId="17" fillId="0" borderId="26" xfId="3" applyNumberFormat="1" applyFont="1" applyBorder="1" applyAlignment="1">
      <alignment horizontal="right" vertical="center" wrapText="1"/>
    </xf>
    <xf numFmtId="43" fontId="17" fillId="0" borderId="17" xfId="1" applyFont="1" applyFill="1" applyBorder="1" applyAlignment="1">
      <alignment horizontal="right" vertical="center" wrapText="1"/>
    </xf>
    <xf numFmtId="43" fontId="17" fillId="0" borderId="18" xfId="1" applyFont="1" applyFill="1" applyBorder="1" applyAlignment="1">
      <alignment horizontal="right" vertical="center" wrapText="1"/>
    </xf>
    <xf numFmtId="43" fontId="17" fillId="0" borderId="20" xfId="1" applyFont="1" applyFill="1" applyBorder="1" applyAlignment="1">
      <alignment horizontal="right" vertical="center" wrapText="1"/>
    </xf>
    <xf numFmtId="43" fontId="17" fillId="0" borderId="22" xfId="1" applyFont="1" applyFill="1" applyBorder="1" applyAlignment="1">
      <alignment horizontal="right" vertical="center" wrapText="1"/>
    </xf>
    <xf numFmtId="43" fontId="17" fillId="0" borderId="23" xfId="1" applyFont="1" applyFill="1" applyBorder="1" applyAlignment="1">
      <alignment horizontal="right" vertical="center" wrapText="1"/>
    </xf>
    <xf numFmtId="14" fontId="0" fillId="0" borderId="0" xfId="0" applyNumberFormat="1"/>
    <xf numFmtId="3" fontId="49" fillId="0" borderId="14" xfId="0" applyNumberFormat="1" applyFont="1" applyBorder="1"/>
    <xf numFmtId="3" fontId="48" fillId="0" borderId="14" xfId="0" applyNumberFormat="1" applyFont="1" applyBorder="1"/>
    <xf numFmtId="3" fontId="20" fillId="0" borderId="34" xfId="0" applyNumberFormat="1" applyFont="1" applyBorder="1"/>
    <xf numFmtId="0" fontId="48" fillId="0" borderId="14" xfId="0" applyFont="1" applyBorder="1" applyAlignment="1">
      <alignment horizontal="right"/>
    </xf>
    <xf numFmtId="0" fontId="49" fillId="0" borderId="25" xfId="0" applyFont="1" applyBorder="1" applyAlignment="1">
      <alignment horizontal="right"/>
    </xf>
    <xf numFmtId="0" fontId="48" fillId="0" borderId="25" xfId="0" applyFont="1" applyBorder="1" applyAlignment="1">
      <alignment horizontal="right"/>
    </xf>
    <xf numFmtId="0" fontId="48" fillId="0" borderId="26" xfId="0" applyFont="1" applyBorder="1" applyAlignment="1">
      <alignment horizontal="right"/>
    </xf>
    <xf numFmtId="0" fontId="49" fillId="0" borderId="39" xfId="0" applyFont="1" applyBorder="1" applyAlignment="1">
      <alignment horizontal="right" vertical="center" wrapText="1"/>
    </xf>
    <xf numFmtId="0" fontId="49" fillId="0" borderId="46" xfId="0" applyFont="1" applyBorder="1" applyAlignment="1">
      <alignment horizontal="right" vertical="center" wrapText="1"/>
    </xf>
    <xf numFmtId="0" fontId="48" fillId="0" borderId="41" xfId="0" applyFont="1" applyBorder="1" applyAlignment="1">
      <alignment horizontal="right" vertical="center" wrapText="1"/>
    </xf>
    <xf numFmtId="0" fontId="48" fillId="0" borderId="46" xfId="0" applyFont="1" applyBorder="1" applyAlignment="1">
      <alignment horizontal="right" vertical="center" wrapText="1"/>
    </xf>
    <xf numFmtId="0" fontId="49" fillId="0" borderId="40" xfId="0" applyFont="1" applyBorder="1" applyAlignment="1">
      <alignment horizontal="right" vertical="center" wrapText="1"/>
    </xf>
    <xf numFmtId="0" fontId="48" fillId="0" borderId="40" xfId="0" applyFont="1" applyBorder="1" applyAlignment="1">
      <alignment horizontal="right" vertical="center" wrapText="1"/>
    </xf>
    <xf numFmtId="0" fontId="49" fillId="9" borderId="24" xfId="0" applyFont="1" applyFill="1" applyBorder="1" applyAlignment="1">
      <alignment vertical="center" wrapText="1"/>
    </xf>
    <xf numFmtId="0" fontId="49" fillId="9" borderId="25" xfId="0" applyFont="1" applyFill="1" applyBorder="1" applyAlignment="1">
      <alignment vertical="center" wrapText="1"/>
    </xf>
    <xf numFmtId="0" fontId="49" fillId="9" borderId="26" xfId="0" applyFont="1" applyFill="1" applyBorder="1" applyAlignment="1">
      <alignment vertical="center" wrapText="1"/>
    </xf>
    <xf numFmtId="0" fontId="48" fillId="9" borderId="26" xfId="0" applyFont="1" applyFill="1" applyBorder="1" applyAlignment="1">
      <alignment vertical="center" wrapText="1"/>
    </xf>
    <xf numFmtId="10" fontId="49" fillId="0" borderId="25" xfId="0" applyNumberFormat="1" applyFont="1" applyBorder="1" applyAlignment="1">
      <alignment horizontal="right" vertical="center" wrapText="1"/>
    </xf>
    <xf numFmtId="10" fontId="48" fillId="0" borderId="25" xfId="0" applyNumberFormat="1" applyFont="1" applyBorder="1" applyAlignment="1">
      <alignment horizontal="right" vertical="center" wrapText="1"/>
    </xf>
    <xf numFmtId="10" fontId="48" fillId="0" borderId="26" xfId="0" applyNumberFormat="1" applyFont="1" applyBorder="1" applyAlignment="1">
      <alignment horizontal="right" vertical="center" wrapText="1"/>
    </xf>
    <xf numFmtId="0" fontId="49" fillId="0" borderId="25" xfId="0" applyFont="1" applyBorder="1" applyAlignment="1">
      <alignment horizontal="right" vertical="center"/>
    </xf>
    <xf numFmtId="2" fontId="49" fillId="0" borderId="14" xfId="8" applyNumberFormat="1" applyFont="1" applyFill="1" applyBorder="1" applyAlignment="1">
      <alignment horizontal="right"/>
    </xf>
    <xf numFmtId="2" fontId="48" fillId="0" borderId="14" xfId="8" applyNumberFormat="1" applyFont="1" applyFill="1" applyBorder="1" applyAlignment="1">
      <alignment horizontal="right"/>
    </xf>
    <xf numFmtId="2" fontId="48" fillId="0" borderId="15" xfId="8" applyNumberFormat="1" applyFont="1" applyFill="1" applyBorder="1" applyAlignment="1">
      <alignment horizontal="right"/>
    </xf>
    <xf numFmtId="2" fontId="49" fillId="0" borderId="14" xfId="0" applyNumberFormat="1" applyFont="1" applyBorder="1"/>
    <xf numFmtId="2" fontId="48" fillId="0" borderId="14" xfId="0" applyNumberFormat="1" applyFont="1" applyBorder="1"/>
    <xf numFmtId="2" fontId="48" fillId="0" borderId="15" xfId="0" applyNumberFormat="1" applyFont="1" applyBorder="1"/>
    <xf numFmtId="2" fontId="48" fillId="0" borderId="41" xfId="0" applyNumberFormat="1" applyFont="1" applyBorder="1"/>
    <xf numFmtId="2" fontId="48" fillId="0" borderId="41" xfId="0" applyNumberFormat="1" applyFont="1" applyBorder="1" applyAlignment="1">
      <alignment horizontal="right"/>
    </xf>
    <xf numFmtId="2" fontId="49" fillId="0" borderId="41" xfId="0" applyNumberFormat="1" applyFont="1" applyBorder="1"/>
    <xf numFmtId="3" fontId="49" fillId="0" borderId="25" xfId="0" applyNumberFormat="1" applyFont="1" applyBorder="1"/>
    <xf numFmtId="3" fontId="48" fillId="0" borderId="25" xfId="0" applyNumberFormat="1" applyFont="1" applyBorder="1"/>
    <xf numFmtId="0" fontId="48" fillId="0" borderId="25" xfId="0" applyFont="1" applyBorder="1"/>
    <xf numFmtId="165" fontId="20" fillId="0" borderId="0" xfId="0" applyNumberFormat="1" applyFont="1"/>
    <xf numFmtId="165" fontId="48" fillId="0" borderId="25" xfId="0" applyNumberFormat="1" applyFont="1" applyBorder="1"/>
    <xf numFmtId="165" fontId="48" fillId="0" borderId="26" xfId="0" applyNumberFormat="1" applyFont="1" applyBorder="1"/>
    <xf numFmtId="10" fontId="48" fillId="0" borderId="14" xfId="0" applyNumberFormat="1" applyFont="1" applyBorder="1" applyAlignment="1">
      <alignment horizontal="right" vertical="center" wrapText="1"/>
    </xf>
    <xf numFmtId="10" fontId="48" fillId="0" borderId="15" xfId="0" applyNumberFormat="1" applyFont="1" applyBorder="1" applyAlignment="1">
      <alignment horizontal="right" vertical="center" wrapText="1"/>
    </xf>
    <xf numFmtId="0" fontId="48" fillId="0" borderId="25" xfId="0" applyFont="1" applyBorder="1" applyAlignment="1">
      <alignment vertical="center" wrapText="1"/>
    </xf>
    <xf numFmtId="0" fontId="48" fillId="0" borderId="25" xfId="0" applyFont="1" applyBorder="1" applyAlignment="1">
      <alignment horizontal="right" vertical="center" wrapText="1"/>
    </xf>
    <xf numFmtId="0" fontId="49" fillId="9" borderId="12" xfId="0" applyFont="1" applyFill="1" applyBorder="1" applyAlignment="1">
      <alignment vertical="center" wrapText="1"/>
    </xf>
    <xf numFmtId="0" fontId="48" fillId="9" borderId="14" xfId="0" applyFont="1" applyFill="1" applyBorder="1" applyAlignment="1">
      <alignment vertical="center" wrapText="1"/>
    </xf>
    <xf numFmtId="0" fontId="48" fillId="9" borderId="15" xfId="0" applyFont="1" applyFill="1" applyBorder="1" applyAlignment="1">
      <alignment vertical="center" wrapText="1"/>
    </xf>
    <xf numFmtId="166" fontId="20" fillId="0" borderId="0" xfId="0" applyNumberFormat="1" applyFont="1" applyAlignment="1">
      <alignment horizontal="right" vertical="center" wrapText="1"/>
    </xf>
    <xf numFmtId="0" fontId="17" fillId="0" borderId="33" xfId="3" applyFont="1" applyBorder="1" applyAlignment="1">
      <alignment horizontal="right" vertical="center" wrapText="1"/>
    </xf>
    <xf numFmtId="166" fontId="20" fillId="0" borderId="25" xfId="0" applyNumberFormat="1" applyFont="1" applyBorder="1" applyAlignment="1">
      <alignment horizontal="right" vertical="center" wrapText="1"/>
    </xf>
    <xf numFmtId="0" fontId="17" fillId="0" borderId="52" xfId="3" applyFont="1" applyBorder="1" applyAlignment="1">
      <alignment horizontal="right" vertical="center" wrapText="1"/>
    </xf>
    <xf numFmtId="3" fontId="48" fillId="0" borderId="25" xfId="0" applyNumberFormat="1" applyFont="1" applyBorder="1" applyAlignment="1">
      <alignment horizontal="right" vertical="center" wrapText="1"/>
    </xf>
    <xf numFmtId="3" fontId="48" fillId="0" borderId="25" xfId="0" applyNumberFormat="1" applyFont="1" applyBorder="1" applyAlignment="1">
      <alignment vertical="center" wrapText="1"/>
    </xf>
    <xf numFmtId="3" fontId="48" fillId="0" borderId="26" xfId="0" applyNumberFormat="1" applyFont="1" applyBorder="1" applyAlignment="1">
      <alignment horizontal="right" vertical="center" wrapText="1"/>
    </xf>
    <xf numFmtId="3" fontId="48" fillId="9" borderId="25" xfId="0" applyNumberFormat="1" applyFont="1" applyFill="1" applyBorder="1" applyAlignment="1">
      <alignment horizontal="right" vertical="center" wrapText="1"/>
    </xf>
    <xf numFmtId="3" fontId="16" fillId="9" borderId="24" xfId="0" applyNumberFormat="1" applyFont="1" applyFill="1" applyBorder="1" applyAlignment="1">
      <alignment horizontal="right" vertical="center" wrapText="1"/>
    </xf>
    <xf numFmtId="0" fontId="16" fillId="9" borderId="24" xfId="0" applyFont="1" applyFill="1" applyBorder="1" applyAlignment="1">
      <alignment horizontal="right" vertical="center" wrapText="1"/>
    </xf>
    <xf numFmtId="0" fontId="50" fillId="0" borderId="25" xfId="0" applyFont="1" applyBorder="1" applyAlignment="1">
      <alignment wrapText="1"/>
    </xf>
    <xf numFmtId="3" fontId="37" fillId="9" borderId="25" xfId="0" applyNumberFormat="1" applyFont="1" applyFill="1" applyBorder="1" applyAlignment="1">
      <alignment horizontal="right" vertical="center" wrapText="1"/>
    </xf>
    <xf numFmtId="0" fontId="37" fillId="9" borderId="25" xfId="0" applyFont="1" applyFill="1" applyBorder="1" applyAlignment="1">
      <alignment horizontal="right" vertical="center" wrapText="1"/>
    </xf>
    <xf numFmtId="3" fontId="49" fillId="0" borderId="24" xfId="0" applyNumberFormat="1" applyFont="1" applyBorder="1" applyAlignment="1">
      <alignment horizontal="right" vertical="center" wrapText="1"/>
    </xf>
    <xf numFmtId="0" fontId="19" fillId="2" borderId="0" xfId="3" applyFont="1" applyFill="1" applyAlignment="1">
      <alignment horizontal="left" vertical="center" wrapText="1"/>
    </xf>
    <xf numFmtId="3" fontId="19" fillId="0" borderId="0" xfId="3" applyNumberFormat="1" applyFont="1" applyAlignment="1">
      <alignment horizontal="right" vertical="center" wrapText="1"/>
    </xf>
    <xf numFmtId="3" fontId="19" fillId="2" borderId="0" xfId="3" applyNumberFormat="1" applyFont="1" applyFill="1" applyAlignment="1">
      <alignment horizontal="right" vertical="center" wrapText="1"/>
    </xf>
    <xf numFmtId="0" fontId="16" fillId="5" borderId="1" xfId="3" applyFont="1" applyFill="1" applyBorder="1" applyAlignment="1">
      <alignment horizontal="left" vertical="center" wrapText="1"/>
    </xf>
    <xf numFmtId="164" fontId="17" fillId="2" borderId="25" xfId="1" applyNumberFormat="1" applyFont="1" applyFill="1" applyBorder="1" applyAlignment="1">
      <alignment vertical="center" wrapText="1"/>
    </xf>
    <xf numFmtId="164" fontId="17" fillId="2" borderId="26" xfId="1" applyNumberFormat="1" applyFont="1" applyFill="1" applyBorder="1" applyAlignment="1">
      <alignment vertical="center" wrapText="1"/>
    </xf>
    <xf numFmtId="0" fontId="2" fillId="10" borderId="0" xfId="3" applyFill="1"/>
    <xf numFmtId="0" fontId="0" fillId="10" borderId="0" xfId="0" applyFill="1"/>
    <xf numFmtId="0" fontId="38" fillId="10" borderId="0" xfId="3" applyFont="1" applyFill="1" applyAlignment="1">
      <alignment vertical="center"/>
    </xf>
    <xf numFmtId="0" fontId="24" fillId="10" borderId="0" xfId="3" applyFont="1" applyFill="1" applyAlignment="1">
      <alignment vertical="center"/>
    </xf>
    <xf numFmtId="0" fontId="25" fillId="10" borderId="0" xfId="3" applyFont="1" applyFill="1"/>
    <xf numFmtId="0" fontId="2" fillId="11" borderId="0" xfId="3" applyFill="1"/>
    <xf numFmtId="0" fontId="0" fillId="11" borderId="0" xfId="0" applyFill="1"/>
    <xf numFmtId="0" fontId="38" fillId="11" borderId="0" xfId="3" applyFont="1" applyFill="1" applyAlignment="1">
      <alignment vertical="center"/>
    </xf>
    <xf numFmtId="0" fontId="24" fillId="11" borderId="0" xfId="3" applyFont="1" applyFill="1" applyAlignment="1">
      <alignment vertical="center"/>
    </xf>
    <xf numFmtId="0" fontId="25" fillId="11" borderId="0" xfId="3" applyFont="1" applyFill="1"/>
    <xf numFmtId="0" fontId="36" fillId="12" borderId="0" xfId="0" applyFont="1" applyFill="1" applyAlignment="1">
      <alignment wrapText="1"/>
    </xf>
    <xf numFmtId="0" fontId="0" fillId="12" borderId="0" xfId="0" applyFill="1"/>
    <xf numFmtId="0" fontId="38" fillId="12" borderId="0" xfId="3" applyFont="1" applyFill="1" applyAlignment="1">
      <alignment vertical="center"/>
    </xf>
    <xf numFmtId="0" fontId="32" fillId="12" borderId="0" xfId="0" applyFont="1" applyFill="1" applyAlignment="1">
      <alignment vertical="center"/>
    </xf>
    <xf numFmtId="0" fontId="18" fillId="12" borderId="0" xfId="0" applyFont="1" applyFill="1"/>
    <xf numFmtId="0" fontId="42" fillId="12" borderId="0" xfId="0" applyFont="1" applyFill="1"/>
    <xf numFmtId="0" fontId="14" fillId="12" borderId="0" xfId="0" applyFont="1" applyFill="1" applyAlignment="1">
      <alignment vertical="center"/>
    </xf>
    <xf numFmtId="0" fontId="43" fillId="12" borderId="0" xfId="0" applyFont="1" applyFill="1"/>
    <xf numFmtId="0" fontId="16" fillId="6" borderId="53" xfId="3" applyFont="1" applyFill="1" applyBorder="1" applyAlignment="1">
      <alignment horizontal="right" vertical="center" wrapText="1"/>
    </xf>
    <xf numFmtId="0" fontId="13" fillId="11" borderId="0" xfId="0" applyFont="1" applyFill="1"/>
    <xf numFmtId="0" fontId="41" fillId="11" borderId="0" xfId="3" applyFont="1" applyFill="1" applyAlignment="1">
      <alignment vertical="center"/>
    </xf>
    <xf numFmtId="0" fontId="14" fillId="11" borderId="0" xfId="0" applyFont="1" applyFill="1" applyAlignment="1">
      <alignment vertical="center"/>
    </xf>
    <xf numFmtId="0" fontId="10" fillId="11" borderId="0" xfId="0" applyFont="1" applyFill="1" applyAlignment="1">
      <alignment vertical="center"/>
    </xf>
    <xf numFmtId="0" fontId="14" fillId="11" borderId="0" xfId="0" applyFont="1" applyFill="1" applyAlignment="1">
      <alignment vertical="top"/>
    </xf>
    <xf numFmtId="0" fontId="18" fillId="11" borderId="0" xfId="0" applyFont="1" applyFill="1"/>
    <xf numFmtId="0" fontId="42" fillId="11" borderId="0" xfId="0" applyFont="1" applyFill="1"/>
    <xf numFmtId="0" fontId="43" fillId="11" borderId="0" xfId="0" applyFont="1" applyFill="1"/>
    <xf numFmtId="0" fontId="16" fillId="3" borderId="24" xfId="3" applyFont="1" applyFill="1" applyBorder="1" applyAlignment="1">
      <alignment vertical="center" wrapText="1"/>
    </xf>
    <xf numFmtId="0" fontId="16" fillId="3" borderId="12" xfId="3" applyFont="1" applyFill="1" applyBorder="1" applyAlignment="1">
      <alignment horizontal="left" vertical="center" wrapText="1"/>
    </xf>
    <xf numFmtId="0" fontId="16" fillId="13" borderId="24" xfId="0" applyFont="1" applyFill="1" applyBorder="1" applyAlignment="1">
      <alignment horizontal="left" vertical="center" wrapText="1"/>
    </xf>
    <xf numFmtId="0" fontId="16" fillId="13" borderId="12" xfId="0" applyFont="1" applyFill="1" applyBorder="1" applyAlignment="1">
      <alignment horizontal="left" vertical="center" wrapText="1"/>
    </xf>
    <xf numFmtId="0" fontId="16" fillId="13" borderId="29" xfId="0" applyFont="1" applyFill="1" applyBorder="1" applyAlignment="1">
      <alignment horizontal="center" vertical="center" wrapText="1"/>
    </xf>
    <xf numFmtId="0" fontId="16" fillId="3" borderId="29" xfId="3" applyFont="1" applyFill="1" applyBorder="1" applyAlignment="1">
      <alignment horizontal="center" vertical="center" wrapText="1"/>
    </xf>
    <xf numFmtId="0" fontId="16" fillId="13" borderId="24" xfId="0" applyFont="1" applyFill="1" applyBorder="1" applyAlignment="1">
      <alignment horizontal="center" vertical="center" wrapText="1"/>
    </xf>
    <xf numFmtId="0" fontId="16" fillId="13" borderId="45" xfId="0" applyFont="1" applyFill="1" applyBorder="1" applyAlignment="1">
      <alignment horizontal="center" vertical="center" wrapText="1"/>
    </xf>
    <xf numFmtId="0" fontId="16" fillId="13" borderId="50" xfId="0" applyFont="1" applyFill="1" applyBorder="1" applyAlignment="1">
      <alignment horizontal="center" vertical="center" wrapText="1"/>
    </xf>
    <xf numFmtId="0" fontId="16" fillId="13" borderId="49" xfId="0" applyFont="1" applyFill="1" applyBorder="1" applyAlignment="1">
      <alignment horizontal="center" vertical="center" wrapText="1"/>
    </xf>
    <xf numFmtId="0" fontId="16" fillId="3" borderId="29" xfId="3" applyFont="1" applyFill="1" applyBorder="1" applyAlignment="1">
      <alignment vertical="center" wrapText="1"/>
    </xf>
    <xf numFmtId="0" fontId="16" fillId="3" borderId="35" xfId="3" applyFont="1" applyFill="1" applyBorder="1" applyAlignment="1">
      <alignment horizontal="left" vertical="center" wrapText="1"/>
    </xf>
    <xf numFmtId="0" fontId="16" fillId="3" borderId="29" xfId="3" applyFont="1" applyFill="1" applyBorder="1" applyAlignment="1">
      <alignment horizontal="left" vertical="center" wrapText="1"/>
    </xf>
    <xf numFmtId="0" fontId="39" fillId="10" borderId="0" xfId="3" applyFont="1" applyFill="1" applyAlignment="1">
      <alignment vertical="center"/>
    </xf>
    <xf numFmtId="0" fontId="16" fillId="14" borderId="24" xfId="3" applyFont="1" applyFill="1" applyBorder="1" applyAlignment="1">
      <alignment horizontal="left" vertical="center" wrapText="1"/>
    </xf>
    <xf numFmtId="0" fontId="16" fillId="14" borderId="24" xfId="3" applyFont="1" applyFill="1" applyBorder="1" applyAlignment="1">
      <alignment vertical="center" wrapText="1"/>
    </xf>
    <xf numFmtId="0" fontId="16" fillId="14" borderId="4" xfId="3" applyFont="1" applyFill="1" applyBorder="1" applyAlignment="1">
      <alignment vertical="center" wrapText="1"/>
    </xf>
    <xf numFmtId="0" fontId="16" fillId="3" borderId="55" xfId="3" applyFont="1" applyFill="1" applyBorder="1" applyAlignment="1">
      <alignment vertical="center" wrapText="1"/>
    </xf>
    <xf numFmtId="0" fontId="17" fillId="0" borderId="31" xfId="3" applyFont="1" applyBorder="1" applyAlignment="1">
      <alignment vertical="center" wrapText="1"/>
    </xf>
    <xf numFmtId="0" fontId="17" fillId="0" borderId="30" xfId="3" applyFont="1" applyBorder="1" applyAlignment="1">
      <alignment vertical="center" wrapText="1"/>
    </xf>
    <xf numFmtId="0" fontId="16" fillId="3" borderId="12" xfId="3" applyFont="1" applyFill="1" applyBorder="1" applyAlignment="1">
      <alignment vertical="center" wrapText="1"/>
    </xf>
    <xf numFmtId="0" fontId="16" fillId="3" borderId="32" xfId="3" applyFont="1" applyFill="1" applyBorder="1" applyAlignment="1">
      <alignment vertical="center" wrapText="1"/>
    </xf>
    <xf numFmtId="166" fontId="20" fillId="2" borderId="0" xfId="0" applyNumberFormat="1" applyFont="1" applyFill="1" applyAlignment="1">
      <alignment horizontal="right" vertical="center" wrapText="1"/>
    </xf>
    <xf numFmtId="2" fontId="17" fillId="2" borderId="0" xfId="3" applyNumberFormat="1" applyFont="1" applyFill="1" applyAlignment="1">
      <alignment horizontal="left" vertical="center" wrapText="1"/>
    </xf>
    <xf numFmtId="10" fontId="48" fillId="0" borderId="0" xfId="0" applyNumberFormat="1" applyFont="1" applyAlignment="1">
      <alignment horizontal="right" vertical="center" wrapText="1"/>
    </xf>
    <xf numFmtId="9" fontId="17" fillId="0" borderId="0" xfId="3" applyNumberFormat="1" applyFont="1" applyAlignment="1">
      <alignment horizontal="right" vertical="center" wrapText="1"/>
    </xf>
    <xf numFmtId="9" fontId="17" fillId="2" borderId="0" xfId="3" applyNumberFormat="1" applyFont="1" applyFill="1" applyAlignment="1">
      <alignment horizontal="right" vertical="center" wrapText="1"/>
    </xf>
    <xf numFmtId="2" fontId="17" fillId="2" borderId="25" xfId="3" applyNumberFormat="1" applyFont="1" applyFill="1" applyBorder="1" applyAlignment="1">
      <alignment horizontal="left" vertical="center" wrapText="1"/>
    </xf>
    <xf numFmtId="2" fontId="17" fillId="0" borderId="25" xfId="3" applyNumberFormat="1" applyFont="1" applyBorder="1" applyAlignment="1">
      <alignment horizontal="left" vertical="center" wrapText="1"/>
    </xf>
    <xf numFmtId="2" fontId="17" fillId="0" borderId="26" xfId="3" applyNumberFormat="1" applyFont="1" applyBorder="1" applyAlignment="1">
      <alignment horizontal="left" vertical="center" wrapText="1"/>
    </xf>
    <xf numFmtId="2" fontId="17" fillId="2" borderId="26" xfId="3" applyNumberFormat="1" applyFont="1" applyFill="1" applyBorder="1" applyAlignment="1">
      <alignment vertical="center" wrapText="1"/>
    </xf>
    <xf numFmtId="0" fontId="17" fillId="0" borderId="25" xfId="3" applyFont="1" applyBorder="1" applyAlignment="1">
      <alignment horizontal="right" vertical="center" wrapText="1"/>
    </xf>
    <xf numFmtId="0" fontId="17" fillId="0" borderId="26" xfId="3" applyFont="1" applyBorder="1" applyAlignment="1">
      <alignment horizontal="right" vertical="center" wrapText="1"/>
    </xf>
    <xf numFmtId="166" fontId="19" fillId="0" borderId="26" xfId="3" applyNumberFormat="1" applyFont="1" applyBorder="1" applyAlignment="1">
      <alignment vertical="center" wrapText="1"/>
    </xf>
    <xf numFmtId="0" fontId="22" fillId="0" borderId="25" xfId="0" applyFont="1" applyBorder="1"/>
    <xf numFmtId="0" fontId="22" fillId="0" borderId="26" xfId="0" applyFont="1" applyBorder="1" applyAlignment="1">
      <alignment horizontal="right"/>
    </xf>
    <xf numFmtId="3" fontId="17" fillId="0" borderId="26" xfId="3" applyNumberFormat="1" applyFont="1" applyBorder="1" applyAlignment="1">
      <alignment vertical="center" wrapText="1"/>
    </xf>
    <xf numFmtId="164" fontId="20" fillId="0" borderId="26" xfId="1" applyNumberFormat="1" applyFont="1" applyFill="1" applyBorder="1" applyAlignment="1">
      <alignment horizontal="right" vertical="center" wrapText="1"/>
    </xf>
    <xf numFmtId="0" fontId="49" fillId="0" borderId="24" xfId="0" applyFont="1" applyBorder="1" applyAlignment="1">
      <alignment vertical="center" wrapText="1"/>
    </xf>
    <xf numFmtId="0" fontId="48" fillId="0" borderId="26" xfId="0" applyFont="1" applyBorder="1" applyAlignment="1">
      <alignment horizontal="right" vertical="center" wrapText="1"/>
    </xf>
    <xf numFmtId="4" fontId="16" fillId="0" borderId="38" xfId="3" applyNumberFormat="1" applyFont="1" applyBorder="1" applyAlignment="1">
      <alignment vertical="center" wrapText="1"/>
    </xf>
    <xf numFmtId="4" fontId="16" fillId="0" borderId="25" xfId="3" applyNumberFormat="1" applyFont="1" applyBorder="1" applyAlignment="1">
      <alignment horizontal="right" vertical="center" wrapText="1"/>
    </xf>
    <xf numFmtId="4" fontId="16" fillId="0" borderId="24" xfId="3" applyNumberFormat="1" applyFont="1" applyBorder="1" applyAlignment="1">
      <alignment horizontal="right" vertical="center" wrapText="1"/>
    </xf>
    <xf numFmtId="4" fontId="37" fillId="0" borderId="25" xfId="3" applyNumberFormat="1" applyFont="1" applyBorder="1" applyAlignment="1">
      <alignment horizontal="right" vertical="center" wrapText="1"/>
    </xf>
    <xf numFmtId="0" fontId="37" fillId="0" borderId="26" xfId="3" applyFont="1" applyBorder="1" applyAlignment="1">
      <alignment horizontal="right" vertical="center" wrapText="1"/>
    </xf>
    <xf numFmtId="0" fontId="20" fillId="0" borderId="15" xfId="0" applyFont="1" applyBorder="1"/>
    <xf numFmtId="10" fontId="20" fillId="2" borderId="25" xfId="0" applyNumberFormat="1" applyFont="1" applyFill="1" applyBorder="1"/>
    <xf numFmtId="0" fontId="20" fillId="2" borderId="25" xfId="0" applyFont="1" applyFill="1" applyBorder="1"/>
    <xf numFmtId="0" fontId="20" fillId="2" borderId="26" xfId="0" applyFont="1" applyFill="1" applyBorder="1"/>
    <xf numFmtId="0" fontId="51" fillId="11" borderId="0" xfId="0" applyFont="1" applyFill="1"/>
    <xf numFmtId="0" fontId="3" fillId="0" borderId="0" xfId="2" applyFill="1"/>
    <xf numFmtId="0" fontId="40" fillId="0" borderId="0" xfId="2" applyFont="1" applyFill="1"/>
    <xf numFmtId="0" fontId="16" fillId="6" borderId="24" xfId="3" applyFont="1" applyFill="1" applyBorder="1" applyAlignment="1">
      <alignment horizontal="right" vertical="center" wrapText="1"/>
    </xf>
    <xf numFmtId="3" fontId="52" fillId="0" borderId="25" xfId="0" applyNumberFormat="1" applyFont="1" applyBorder="1"/>
    <xf numFmtId="0" fontId="16" fillId="6" borderId="24" xfId="3" applyFont="1" applyFill="1" applyBorder="1" applyAlignment="1">
      <alignment horizontal="left" vertical="center" wrapText="1"/>
    </xf>
    <xf numFmtId="3" fontId="50" fillId="0" borderId="25" xfId="0" applyNumberFormat="1" applyFont="1" applyBorder="1"/>
    <xf numFmtId="3" fontId="50" fillId="0" borderId="26" xfId="0" applyNumberFormat="1" applyFont="1" applyBorder="1"/>
    <xf numFmtId="0" fontId="37" fillId="0" borderId="25" xfId="3" applyFont="1" applyBorder="1" applyAlignment="1">
      <alignment horizontal="left" vertical="center" wrapText="1"/>
    </xf>
    <xf numFmtId="0" fontId="37" fillId="0" borderId="26" xfId="3" applyFont="1" applyBorder="1" applyAlignment="1">
      <alignment horizontal="left" vertical="center" wrapText="1"/>
    </xf>
    <xf numFmtId="0" fontId="16" fillId="14" borderId="17" xfId="3" applyFont="1" applyFill="1" applyBorder="1" applyAlignment="1">
      <alignment horizontal="left" vertical="center" wrapText="1"/>
    </xf>
    <xf numFmtId="164" fontId="20" fillId="0" borderId="22" xfId="1" applyNumberFormat="1" applyFont="1" applyFill="1" applyBorder="1"/>
    <xf numFmtId="0" fontId="49" fillId="0" borderId="33" xfId="0" applyFont="1" applyBorder="1" applyAlignment="1">
      <alignment horizontal="right" vertical="center" wrapText="1"/>
    </xf>
    <xf numFmtId="0" fontId="48" fillId="0" borderId="33" xfId="0" applyFont="1" applyBorder="1" applyAlignment="1">
      <alignment horizontal="right" vertical="center" wrapText="1"/>
    </xf>
    <xf numFmtId="0" fontId="48" fillId="0" borderId="58" xfId="0" applyFont="1" applyBorder="1" applyAlignment="1">
      <alignment horizontal="right" vertical="center" wrapText="1"/>
    </xf>
    <xf numFmtId="0" fontId="48" fillId="0" borderId="59" xfId="0" applyFont="1" applyBorder="1" applyAlignment="1">
      <alignment horizontal="right" vertical="center" wrapText="1"/>
    </xf>
    <xf numFmtId="0" fontId="48" fillId="0" borderId="34" xfId="0" applyFont="1" applyBorder="1" applyAlignment="1">
      <alignment horizontal="right" vertical="center" wrapText="1"/>
    </xf>
    <xf numFmtId="0" fontId="49" fillId="0" borderId="60" xfId="0" applyFont="1" applyBorder="1" applyAlignment="1">
      <alignment horizontal="right" vertical="center" wrapText="1"/>
    </xf>
    <xf numFmtId="0" fontId="48" fillId="0" borderId="60" xfId="0" applyFont="1" applyBorder="1" applyAlignment="1">
      <alignment horizontal="right" vertical="center" wrapText="1"/>
    </xf>
    <xf numFmtId="0" fontId="48" fillId="0" borderId="61" xfId="0" applyFont="1" applyBorder="1" applyAlignment="1">
      <alignment horizontal="right" vertical="center" wrapText="1"/>
    </xf>
    <xf numFmtId="0" fontId="48" fillId="0" borderId="62" xfId="0" applyFont="1" applyBorder="1" applyAlignment="1">
      <alignment horizontal="right" vertical="center" wrapText="1"/>
    </xf>
    <xf numFmtId="165" fontId="20" fillId="0" borderId="0" xfId="0" applyNumberFormat="1" applyFont="1" applyAlignment="1">
      <alignment horizontal="right" vertical="center" wrapText="1"/>
    </xf>
    <xf numFmtId="0" fontId="35" fillId="0" borderId="0" xfId="0" applyFont="1"/>
    <xf numFmtId="0" fontId="19" fillId="0" borderId="0" xfId="3" applyFont="1" applyAlignment="1">
      <alignment vertical="center"/>
    </xf>
    <xf numFmtId="164" fontId="17" fillId="0" borderId="25" xfId="1" applyNumberFormat="1" applyFont="1" applyFill="1" applyBorder="1" applyAlignment="1">
      <alignment vertical="center" wrapText="1"/>
    </xf>
    <xf numFmtId="164" fontId="17" fillId="0" borderId="26" xfId="1" applyNumberFormat="1" applyFont="1" applyFill="1" applyBorder="1" applyAlignment="1">
      <alignment vertical="center" wrapText="1"/>
    </xf>
    <xf numFmtId="0" fontId="17" fillId="2" borderId="25" xfId="3" applyFont="1" applyFill="1" applyBorder="1" applyAlignment="1">
      <alignment vertical="center"/>
    </xf>
    <xf numFmtId="3" fontId="17" fillId="0" borderId="25" xfId="3" applyNumberFormat="1" applyFont="1" applyBorder="1" applyAlignment="1">
      <alignment vertical="center"/>
    </xf>
    <xf numFmtId="3" fontId="19" fillId="2" borderId="26" xfId="3" applyNumberFormat="1" applyFont="1" applyFill="1" applyBorder="1" applyAlignment="1">
      <alignment vertical="center"/>
    </xf>
    <xf numFmtId="3" fontId="17" fillId="2" borderId="25" xfId="3" applyNumberFormat="1" applyFont="1" applyFill="1" applyBorder="1" applyAlignment="1">
      <alignment vertical="center"/>
    </xf>
    <xf numFmtId="164" fontId="17" fillId="2" borderId="25" xfId="1" applyNumberFormat="1" applyFont="1" applyFill="1" applyBorder="1" applyAlignment="1">
      <alignment horizontal="right"/>
    </xf>
    <xf numFmtId="164" fontId="19" fillId="2" borderId="51" xfId="1" applyNumberFormat="1" applyFont="1" applyFill="1" applyBorder="1" applyAlignment="1">
      <alignment horizontal="right"/>
    </xf>
    <xf numFmtId="0" fontId="20" fillId="0" borderId="14" xfId="0" applyFont="1" applyBorder="1"/>
    <xf numFmtId="0" fontId="17" fillId="2" borderId="25" xfId="3" applyFont="1" applyFill="1" applyBorder="1"/>
    <xf numFmtId="164" fontId="17" fillId="0" borderId="25" xfId="1" applyNumberFormat="1" applyFont="1" applyFill="1" applyBorder="1"/>
    <xf numFmtId="164" fontId="17" fillId="0" borderId="26" xfId="1" applyNumberFormat="1" applyFont="1" applyFill="1" applyBorder="1"/>
    <xf numFmtId="3" fontId="16" fillId="0" borderId="24" xfId="0" applyNumberFormat="1" applyFont="1" applyBorder="1" applyAlignment="1">
      <alignment horizontal="right" vertical="center" wrapText="1"/>
    </xf>
    <xf numFmtId="3" fontId="37" fillId="0" borderId="25" xfId="0" applyNumberFormat="1" applyFont="1" applyBorder="1" applyAlignment="1">
      <alignment horizontal="right" vertical="center" wrapText="1"/>
    </xf>
    <xf numFmtId="0" fontId="37" fillId="0" borderId="25" xfId="0" applyFont="1" applyBorder="1" applyAlignment="1">
      <alignment horizontal="right" vertical="center" wrapText="1"/>
    </xf>
    <xf numFmtId="3" fontId="17" fillId="0" borderId="25" xfId="3" applyNumberFormat="1" applyFont="1" applyBorder="1" applyAlignment="1">
      <alignment horizontal="right" vertical="center"/>
    </xf>
    <xf numFmtId="0" fontId="17" fillId="0" borderId="25" xfId="3" applyFont="1" applyBorder="1" applyAlignment="1">
      <alignment horizontal="right"/>
    </xf>
    <xf numFmtId="3" fontId="19" fillId="0" borderId="26" xfId="3" applyNumberFormat="1" applyFont="1" applyBorder="1" applyAlignment="1">
      <alignment horizontal="right" vertical="center"/>
    </xf>
    <xf numFmtId="0" fontId="3" fillId="14" borderId="24" xfId="2" applyFill="1" applyBorder="1" applyAlignment="1">
      <alignment horizontal="left" vertical="center" wrapText="1"/>
    </xf>
    <xf numFmtId="0" fontId="3" fillId="3" borderId="24" xfId="2" applyFill="1" applyBorder="1" applyAlignment="1">
      <alignment horizontal="left" vertical="center" wrapText="1"/>
    </xf>
    <xf numFmtId="164" fontId="17" fillId="0" borderId="0" xfId="1" applyNumberFormat="1" applyFont="1" applyFill="1" applyBorder="1" applyAlignment="1">
      <alignment vertical="center" wrapText="1"/>
    </xf>
    <xf numFmtId="164" fontId="17" fillId="2" borderId="0" xfId="1" applyNumberFormat="1" applyFont="1" applyFill="1" applyBorder="1" applyAlignment="1">
      <alignment vertical="center" wrapText="1"/>
    </xf>
    <xf numFmtId="0" fontId="17" fillId="0" borderId="15" xfId="3" applyFont="1" applyBorder="1" applyAlignment="1">
      <alignment vertical="center" wrapText="1"/>
    </xf>
    <xf numFmtId="0" fontId="16" fillId="5" borderId="1" xfId="3" applyFont="1" applyFill="1" applyBorder="1" applyAlignment="1">
      <alignment vertical="center" wrapText="1"/>
    </xf>
    <xf numFmtId="0" fontId="16" fillId="3" borderId="24" xfId="3" applyFont="1" applyFill="1" applyBorder="1" applyAlignment="1">
      <alignment horizontal="left" vertical="center" wrapText="1"/>
    </xf>
    <xf numFmtId="170" fontId="19" fillId="0" borderId="26" xfId="3" applyNumberFormat="1" applyFont="1" applyBorder="1" applyAlignment="1">
      <alignment vertical="center" wrapText="1"/>
    </xf>
    <xf numFmtId="0" fontId="16" fillId="14" borderId="7" xfId="3" applyFont="1" applyFill="1" applyBorder="1" applyAlignment="1">
      <alignment horizontal="left" vertical="center" wrapText="1"/>
    </xf>
    <xf numFmtId="0" fontId="16" fillId="14" borderId="1" xfId="3" applyFont="1" applyFill="1" applyBorder="1" applyAlignment="1">
      <alignment horizontal="left" vertical="center" wrapText="1"/>
    </xf>
    <xf numFmtId="169" fontId="19" fillId="0" borderId="1" xfId="1" applyNumberFormat="1" applyFont="1" applyFill="1" applyBorder="1" applyAlignment="1">
      <alignment horizontal="right" vertical="center" wrapText="1"/>
    </xf>
    <xf numFmtId="169" fontId="19" fillId="0" borderId="2" xfId="1" applyNumberFormat="1" applyFont="1" applyFill="1" applyBorder="1" applyAlignment="1">
      <alignment horizontal="right" vertical="center" wrapText="1"/>
    </xf>
    <xf numFmtId="169" fontId="17" fillId="0" borderId="2" xfId="1" applyNumberFormat="1" applyFont="1" applyFill="1" applyBorder="1" applyAlignment="1">
      <alignment horizontal="right" vertical="center" wrapText="1"/>
    </xf>
    <xf numFmtId="169" fontId="17" fillId="0" borderId="3" xfId="1" applyNumberFormat="1" applyFont="1" applyFill="1" applyBorder="1" applyAlignment="1">
      <alignment horizontal="right" vertical="center" wrapText="1"/>
    </xf>
    <xf numFmtId="169" fontId="19" fillId="2" borderId="2" xfId="1" applyNumberFormat="1" applyFont="1" applyFill="1" applyBorder="1" applyAlignment="1">
      <alignment horizontal="right" vertical="center" wrapText="1"/>
    </xf>
    <xf numFmtId="169" fontId="17" fillId="2" borderId="2" xfId="1" applyNumberFormat="1" applyFont="1" applyFill="1" applyBorder="1" applyAlignment="1">
      <alignment horizontal="right" vertical="center" wrapText="1"/>
    </xf>
    <xf numFmtId="169" fontId="17" fillId="2" borderId="3" xfId="1" applyNumberFormat="1" applyFont="1" applyFill="1" applyBorder="1" applyAlignment="1">
      <alignment horizontal="right" vertical="center" wrapText="1"/>
    </xf>
    <xf numFmtId="169" fontId="19" fillId="0" borderId="1" xfId="1" applyNumberFormat="1" applyFont="1" applyBorder="1" applyAlignment="1">
      <alignment horizontal="right" vertical="center" wrapText="1"/>
    </xf>
    <xf numFmtId="169" fontId="19" fillId="0" borderId="2" xfId="1" applyNumberFormat="1" applyFont="1" applyBorder="1" applyAlignment="1">
      <alignment horizontal="right" vertical="center" wrapText="1"/>
    </xf>
    <xf numFmtId="0" fontId="16" fillId="14" borderId="1" xfId="3" applyFont="1" applyFill="1" applyBorder="1" applyAlignment="1">
      <alignment vertical="center" wrapText="1"/>
    </xf>
    <xf numFmtId="0" fontId="16" fillId="3" borderId="36" xfId="3" applyFont="1" applyFill="1" applyBorder="1" applyAlignment="1">
      <alignment horizontal="center" vertical="center" wrapText="1"/>
    </xf>
    <xf numFmtId="0" fontId="16" fillId="13" borderId="36" xfId="0" applyFont="1" applyFill="1" applyBorder="1" applyAlignment="1">
      <alignment horizontal="center" vertical="center" wrapText="1"/>
    </xf>
    <xf numFmtId="0" fontId="35" fillId="10" borderId="0" xfId="0" applyFont="1" applyFill="1"/>
    <xf numFmtId="0" fontId="54" fillId="10" borderId="0" xfId="3" applyFont="1" applyFill="1"/>
    <xf numFmtId="0" fontId="39" fillId="0" borderId="0" xfId="3" applyFont="1" applyAlignment="1">
      <alignment vertical="center"/>
    </xf>
    <xf numFmtId="165" fontId="17" fillId="0" borderId="2" xfId="8" applyNumberFormat="1" applyFont="1" applyFill="1" applyBorder="1" applyAlignment="1">
      <alignment horizontal="right" vertical="center" wrapText="1"/>
    </xf>
    <xf numFmtId="165" fontId="19" fillId="0" borderId="22" xfId="8" applyNumberFormat="1" applyFont="1" applyFill="1" applyBorder="1" applyAlignment="1">
      <alignment horizontal="right" vertical="center" wrapText="1"/>
    </xf>
    <xf numFmtId="165" fontId="19" fillId="0" borderId="22" xfId="8" applyNumberFormat="1" applyFont="1" applyBorder="1" applyAlignment="1">
      <alignment horizontal="right" vertical="center" wrapText="1"/>
    </xf>
    <xf numFmtId="164" fontId="17" fillId="0" borderId="2" xfId="1" applyNumberFormat="1" applyFont="1" applyFill="1" applyBorder="1" applyAlignment="1">
      <alignment horizontal="right" vertical="center" wrapText="1"/>
    </xf>
    <xf numFmtId="164" fontId="19" fillId="0" borderId="26" xfId="1" applyNumberFormat="1" applyFont="1" applyFill="1" applyBorder="1" applyAlignment="1">
      <alignment horizontal="right" vertical="center" wrapText="1"/>
    </xf>
    <xf numFmtId="164" fontId="17" fillId="0" borderId="25" xfId="1" applyNumberFormat="1" applyFont="1" applyFill="1" applyBorder="1" applyAlignment="1">
      <alignment horizontal="right" vertical="center" wrapText="1"/>
    </xf>
    <xf numFmtId="165" fontId="19" fillId="0" borderId="63" xfId="3" applyNumberFormat="1" applyFont="1" applyBorder="1" applyAlignment="1">
      <alignment horizontal="right" vertical="center" wrapText="1"/>
    </xf>
    <xf numFmtId="165" fontId="19" fillId="0" borderId="26" xfId="3" applyNumberFormat="1" applyFont="1" applyBorder="1" applyAlignment="1">
      <alignment horizontal="right" vertical="center" wrapText="1"/>
    </xf>
    <xf numFmtId="164" fontId="19" fillId="0" borderId="22" xfId="1" applyNumberFormat="1" applyFont="1" applyFill="1" applyBorder="1" applyAlignment="1">
      <alignment horizontal="right" vertical="center" wrapText="1"/>
    </xf>
    <xf numFmtId="164" fontId="19" fillId="0" borderId="22" xfId="1" applyNumberFormat="1" applyFont="1" applyBorder="1" applyAlignment="1">
      <alignment horizontal="right" vertical="center" wrapText="1"/>
    </xf>
    <xf numFmtId="0" fontId="17" fillId="0" borderId="0" xfId="3" applyFont="1" applyAlignment="1">
      <alignment vertical="center" wrapText="1"/>
    </xf>
    <xf numFmtId="9" fontId="17" fillId="0" borderId="0" xfId="8" applyFont="1" applyFill="1" applyBorder="1" applyAlignment="1">
      <alignment vertical="center" wrapText="1"/>
    </xf>
    <xf numFmtId="9" fontId="17" fillId="0" borderId="0" xfId="8" applyFont="1" applyBorder="1" applyAlignment="1">
      <alignment vertical="center" wrapText="1"/>
    </xf>
    <xf numFmtId="0" fontId="54" fillId="0" borderId="0" xfId="3" applyFont="1"/>
    <xf numFmtId="0" fontId="22" fillId="0" borderId="0" xfId="0" applyFont="1"/>
    <xf numFmtId="0" fontId="16" fillId="14" borderId="12" xfId="3" applyFont="1" applyFill="1" applyBorder="1" applyAlignment="1">
      <alignment horizontal="left" vertical="center" wrapText="1"/>
    </xf>
    <xf numFmtId="0" fontId="16" fillId="14" borderId="42" xfId="3" applyFont="1" applyFill="1" applyBorder="1" applyAlignment="1">
      <alignment horizontal="left" vertical="center" wrapText="1"/>
    </xf>
    <xf numFmtId="164" fontId="20" fillId="0" borderId="5" xfId="1" applyNumberFormat="1" applyFont="1" applyFill="1" applyBorder="1"/>
    <xf numFmtId="164" fontId="20" fillId="0" borderId="43" xfId="1" applyNumberFormat="1" applyFont="1" applyFill="1" applyBorder="1"/>
    <xf numFmtId="0" fontId="16" fillId="14" borderId="32" xfId="3" applyFont="1" applyFill="1" applyBorder="1" applyAlignment="1">
      <alignment horizontal="left" vertical="center" wrapText="1"/>
    </xf>
    <xf numFmtId="168" fontId="17" fillId="0" borderId="26" xfId="3" applyNumberFormat="1" applyFont="1" applyBorder="1" applyAlignment="1">
      <alignment horizontal="right" vertical="center" wrapText="1"/>
    </xf>
    <xf numFmtId="168" fontId="17" fillId="0" borderId="34" xfId="3" applyNumberFormat="1" applyFont="1" applyBorder="1" applyAlignment="1">
      <alignment horizontal="right" vertical="center" wrapText="1"/>
    </xf>
    <xf numFmtId="171" fontId="17" fillId="0" borderId="3" xfId="3" applyNumberFormat="1" applyFont="1" applyBorder="1" applyAlignment="1">
      <alignment vertical="center" wrapText="1"/>
    </xf>
    <xf numFmtId="164" fontId="20" fillId="0" borderId="3" xfId="1" applyNumberFormat="1" applyFont="1" applyBorder="1"/>
    <xf numFmtId="164" fontId="20" fillId="0" borderId="25" xfId="0" applyNumberFormat="1" applyFont="1" applyBorder="1"/>
    <xf numFmtId="164" fontId="20" fillId="8" borderId="25" xfId="1" applyNumberFormat="1" applyFont="1" applyFill="1" applyBorder="1"/>
    <xf numFmtId="171" fontId="20" fillId="0" borderId="25" xfId="0" applyNumberFormat="1" applyFont="1" applyBorder="1"/>
    <xf numFmtId="171" fontId="20" fillId="0" borderId="26" xfId="0" applyNumberFormat="1" applyFont="1" applyBorder="1"/>
    <xf numFmtId="171" fontId="20" fillId="8" borderId="26" xfId="0" applyNumberFormat="1" applyFont="1" applyFill="1" applyBorder="1"/>
    <xf numFmtId="164" fontId="15" fillId="8" borderId="26" xfId="1" applyNumberFormat="1" applyFont="1" applyFill="1" applyBorder="1"/>
    <xf numFmtId="168" fontId="20" fillId="0" borderId="25" xfId="0" applyNumberFormat="1" applyFont="1" applyBorder="1"/>
    <xf numFmtId="168" fontId="20" fillId="0" borderId="33" xfId="0" applyNumberFormat="1" applyFont="1" applyBorder="1"/>
    <xf numFmtId="166" fontId="20" fillId="0" borderId="25" xfId="0" applyNumberFormat="1" applyFont="1" applyBorder="1"/>
    <xf numFmtId="166" fontId="17" fillId="0" borderId="25" xfId="3" applyNumberFormat="1" applyFont="1" applyBorder="1"/>
    <xf numFmtId="166" fontId="17" fillId="0" borderId="33" xfId="3" applyNumberFormat="1" applyFont="1" applyBorder="1"/>
    <xf numFmtId="9" fontId="17" fillId="0" borderId="0" xfId="8" applyFont="1" applyFill="1" applyBorder="1" applyAlignment="1">
      <alignment horizontal="left" vertical="center" wrapText="1"/>
    </xf>
    <xf numFmtId="9" fontId="19" fillId="0" borderId="0" xfId="8" applyFont="1" applyBorder="1" applyAlignment="1">
      <alignment horizontal="left" vertical="center" wrapText="1"/>
    </xf>
    <xf numFmtId="9" fontId="19" fillId="0" borderId="0" xfId="8" applyFont="1" applyBorder="1" applyAlignment="1">
      <alignment horizontal="right" vertical="center" wrapText="1"/>
    </xf>
    <xf numFmtId="9" fontId="17" fillId="0" borderId="25" xfId="3" applyNumberFormat="1" applyFont="1" applyBorder="1"/>
    <xf numFmtId="9" fontId="17" fillId="0" borderId="25" xfId="8" applyFont="1" applyFill="1" applyBorder="1" applyAlignment="1">
      <alignment horizontal="right" vertical="center" wrapText="1"/>
    </xf>
    <xf numFmtId="9" fontId="17" fillId="0" borderId="26" xfId="8" applyFont="1" applyFill="1" applyBorder="1" applyAlignment="1">
      <alignment horizontal="right" vertical="center" wrapText="1"/>
    </xf>
    <xf numFmtId="9" fontId="20" fillId="0" borderId="25" xfId="0" applyNumberFormat="1" applyFont="1" applyBorder="1"/>
    <xf numFmtId="9" fontId="20" fillId="0" borderId="26" xfId="0" applyNumberFormat="1" applyFont="1" applyBorder="1"/>
    <xf numFmtId="0" fontId="0" fillId="0" borderId="26" xfId="0" applyBorder="1"/>
    <xf numFmtId="0" fontId="16" fillId="14" borderId="12" xfId="3" applyFont="1" applyFill="1" applyBorder="1" applyAlignment="1">
      <alignment vertical="center" wrapText="1"/>
    </xf>
    <xf numFmtId="43" fontId="19" fillId="0" borderId="2" xfId="1" applyFont="1" applyFill="1" applyBorder="1" applyAlignment="1">
      <alignment horizontal="right" vertical="center" wrapText="1"/>
    </xf>
    <xf numFmtId="0" fontId="16" fillId="0" borderId="2" xfId="3" applyFont="1" applyBorder="1" applyAlignment="1">
      <alignment vertical="center" wrapText="1"/>
    </xf>
    <xf numFmtId="0" fontId="37" fillId="0" borderId="2" xfId="3" applyFont="1" applyBorder="1" applyAlignment="1">
      <alignment vertical="center" wrapText="1"/>
    </xf>
    <xf numFmtId="9" fontId="17" fillId="0" borderId="25" xfId="8" applyFont="1" applyFill="1" applyBorder="1" applyAlignment="1">
      <alignment vertical="center" wrapText="1"/>
    </xf>
    <xf numFmtId="9" fontId="17" fillId="0" borderId="26" xfId="8" applyFont="1" applyFill="1" applyBorder="1" applyAlignment="1">
      <alignment vertical="center" wrapText="1"/>
    </xf>
    <xf numFmtId="9" fontId="17" fillId="2" borderId="25" xfId="8" applyFont="1" applyFill="1" applyBorder="1" applyAlignment="1">
      <alignment vertical="center" wrapText="1"/>
    </xf>
    <xf numFmtId="9" fontId="17" fillId="2" borderId="26" xfId="8" applyFont="1" applyFill="1" applyBorder="1" applyAlignment="1">
      <alignment vertical="center" wrapText="1"/>
    </xf>
    <xf numFmtId="9" fontId="17" fillId="7" borderId="25" xfId="3" applyNumberFormat="1" applyFont="1" applyFill="1" applyBorder="1" applyAlignment="1">
      <alignment vertical="center" wrapText="1"/>
    </xf>
    <xf numFmtId="9" fontId="17" fillId="7" borderId="26" xfId="8" applyFont="1" applyFill="1" applyBorder="1" applyAlignment="1">
      <alignment vertical="center" wrapText="1"/>
    </xf>
    <xf numFmtId="9" fontId="17" fillId="0" borderId="25" xfId="3" applyNumberFormat="1" applyFont="1" applyBorder="1" applyAlignment="1">
      <alignment vertical="center" wrapText="1"/>
    </xf>
    <xf numFmtId="0" fontId="49" fillId="0" borderId="0" xfId="0" applyFont="1"/>
    <xf numFmtId="0" fontId="17" fillId="0" borderId="25" xfId="3" applyFont="1" applyBorder="1" applyAlignment="1">
      <alignment vertical="center"/>
    </xf>
    <xf numFmtId="164" fontId="17" fillId="0" borderId="25" xfId="1" applyNumberFormat="1" applyFont="1" applyFill="1" applyBorder="1" applyAlignment="1">
      <alignment horizontal="right"/>
    </xf>
    <xf numFmtId="0" fontId="19" fillId="2" borderId="26" xfId="3" applyFont="1" applyFill="1" applyBorder="1" applyAlignment="1">
      <alignment vertical="center"/>
    </xf>
    <xf numFmtId="3" fontId="17" fillId="2" borderId="26" xfId="3" applyNumberFormat="1" applyFont="1" applyFill="1" applyBorder="1" applyAlignment="1">
      <alignment vertical="center"/>
    </xf>
    <xf numFmtId="0" fontId="20" fillId="0" borderId="25" xfId="0" applyFont="1" applyBorder="1" applyAlignment="1">
      <alignment wrapText="1"/>
    </xf>
    <xf numFmtId="0" fontId="15" fillId="0" borderId="26" xfId="0" applyFont="1" applyBorder="1" applyAlignment="1">
      <alignment wrapText="1"/>
    </xf>
    <xf numFmtId="3" fontId="17" fillId="7" borderId="25" xfId="3" applyNumberFormat="1" applyFont="1" applyFill="1" applyBorder="1" applyAlignment="1">
      <alignment horizontal="right" vertical="center" wrapText="1"/>
    </xf>
    <xf numFmtId="3" fontId="17" fillId="7" borderId="26" xfId="3" applyNumberFormat="1" applyFont="1" applyFill="1" applyBorder="1" applyAlignment="1">
      <alignment horizontal="right" vertical="center" wrapText="1"/>
    </xf>
    <xf numFmtId="0" fontId="20" fillId="0" borderId="26" xfId="0" applyFont="1" applyBorder="1" applyAlignment="1">
      <alignment wrapText="1"/>
    </xf>
    <xf numFmtId="3" fontId="17" fillId="7" borderId="33" xfId="3" applyNumberFormat="1" applyFont="1" applyFill="1" applyBorder="1" applyAlignment="1">
      <alignment horizontal="right" vertical="center" wrapText="1"/>
    </xf>
    <xf numFmtId="3" fontId="17" fillId="7" borderId="34" xfId="3" applyNumberFormat="1" applyFont="1" applyFill="1" applyBorder="1" applyAlignment="1">
      <alignment horizontal="right" vertical="center" wrapText="1"/>
    </xf>
    <xf numFmtId="43" fontId="48" fillId="0" borderId="25" xfId="1" applyFont="1" applyFill="1" applyBorder="1" applyAlignment="1">
      <alignment horizontal="right" vertical="center" wrapText="1"/>
    </xf>
    <xf numFmtId="164" fontId="17" fillId="0" borderId="6" xfId="1" applyNumberFormat="1" applyFont="1" applyFill="1" applyBorder="1" applyAlignment="1">
      <alignment horizontal="right" vertical="center" wrapText="1"/>
    </xf>
    <xf numFmtId="0" fontId="17" fillId="2" borderId="9" xfId="3" applyFont="1" applyFill="1" applyBorder="1" applyAlignment="1">
      <alignment horizontal="left" vertical="center" wrapText="1"/>
    </xf>
    <xf numFmtId="0" fontId="17" fillId="0" borderId="14" xfId="3" applyFont="1" applyBorder="1" applyAlignment="1">
      <alignment horizontal="right" vertical="center" wrapText="1"/>
    </xf>
    <xf numFmtId="0" fontId="17" fillId="2" borderId="14" xfId="3" applyFont="1" applyFill="1" applyBorder="1" applyAlignment="1">
      <alignment horizontal="right" vertical="center" wrapText="1"/>
    </xf>
    <xf numFmtId="4" fontId="17" fillId="0" borderId="8" xfId="3" applyNumberFormat="1" applyFont="1" applyBorder="1" applyAlignment="1">
      <alignment horizontal="right" vertical="center" wrapText="1"/>
    </xf>
    <xf numFmtId="0" fontId="17" fillId="2" borderId="11" xfId="3" applyFont="1" applyFill="1" applyBorder="1" applyAlignment="1">
      <alignment horizontal="left" vertical="center" wrapText="1"/>
    </xf>
    <xf numFmtId="3" fontId="17" fillId="0" borderId="54" xfId="3" applyNumberFormat="1" applyFont="1" applyBorder="1" applyAlignment="1">
      <alignment horizontal="right" vertical="center" wrapText="1"/>
    </xf>
    <xf numFmtId="3" fontId="17" fillId="0" borderId="16" xfId="3" applyNumberFormat="1" applyFont="1" applyBorder="1" applyAlignment="1">
      <alignment horizontal="right" vertical="center" wrapText="1"/>
    </xf>
    <xf numFmtId="0" fontId="39" fillId="12" borderId="0" xfId="3" applyFont="1" applyFill="1" applyAlignment="1">
      <alignment vertical="center"/>
    </xf>
    <xf numFmtId="0" fontId="3" fillId="6" borderId="24" xfId="2" applyFill="1" applyBorder="1" applyAlignment="1">
      <alignment horizontal="right" vertical="center" wrapText="1"/>
    </xf>
    <xf numFmtId="0" fontId="3" fillId="6" borderId="53" xfId="2" applyFill="1" applyBorder="1" applyAlignment="1">
      <alignment horizontal="right" vertical="center" wrapText="1"/>
    </xf>
    <xf numFmtId="0" fontId="13" fillId="0" borderId="0" xfId="0" applyFont="1"/>
    <xf numFmtId="0" fontId="41" fillId="0" borderId="0" xfId="3" applyFont="1" applyAlignment="1">
      <alignment vertical="center"/>
    </xf>
    <xf numFmtId="0" fontId="17" fillId="2" borderId="15" xfId="3" applyFont="1" applyFill="1" applyBorder="1" applyAlignment="1">
      <alignment horizontal="right" vertical="center" wrapText="1"/>
    </xf>
    <xf numFmtId="0" fontId="48" fillId="0" borderId="15" xfId="0" applyFont="1" applyBorder="1" applyAlignment="1">
      <alignment horizontal="right" vertical="center" wrapText="1"/>
    </xf>
    <xf numFmtId="0" fontId="21" fillId="0" borderId="0" xfId="2" applyFont="1" applyFill="1" applyAlignment="1">
      <alignment vertical="center"/>
    </xf>
    <xf numFmtId="0" fontId="20" fillId="0" borderId="0" xfId="0" applyFont="1" applyAlignment="1">
      <alignment vertical="center"/>
    </xf>
    <xf numFmtId="0" fontId="12" fillId="0" borderId="0" xfId="0" applyFont="1" applyAlignment="1">
      <alignment vertical="center"/>
    </xf>
    <xf numFmtId="0" fontId="16" fillId="13" borderId="24" xfId="0" applyFont="1" applyFill="1" applyBorder="1" applyAlignment="1">
      <alignment vertical="center" wrapText="1"/>
    </xf>
    <xf numFmtId="9" fontId="48" fillId="0" borderId="26" xfId="0" applyNumberFormat="1" applyFont="1" applyBorder="1" applyAlignment="1">
      <alignment horizontal="right" vertical="center" wrapText="1"/>
    </xf>
    <xf numFmtId="9" fontId="17" fillId="0" borderId="26" xfId="3" applyNumberFormat="1" applyFont="1" applyBorder="1" applyAlignment="1">
      <alignment horizontal="right" vertical="center" wrapText="1"/>
    </xf>
    <xf numFmtId="10" fontId="20" fillId="0" borderId="25" xfId="0" applyNumberFormat="1" applyFont="1" applyBorder="1"/>
    <xf numFmtId="165" fontId="48" fillId="0" borderId="25" xfId="0" applyNumberFormat="1" applyFont="1" applyBorder="1" applyAlignment="1">
      <alignment vertical="center" wrapText="1"/>
    </xf>
    <xf numFmtId="165" fontId="48" fillId="0" borderId="26" xfId="0" applyNumberFormat="1" applyFont="1" applyBorder="1" applyAlignment="1">
      <alignment vertical="center" wrapText="1"/>
    </xf>
    <xf numFmtId="10" fontId="17" fillId="0" borderId="25" xfId="8" applyNumberFormat="1" applyFont="1" applyFill="1" applyBorder="1" applyAlignment="1">
      <alignment horizontal="right" vertical="center" wrapText="1"/>
    </xf>
    <xf numFmtId="2" fontId="48" fillId="0" borderId="25" xfId="0" applyNumberFormat="1" applyFont="1" applyBorder="1" applyAlignment="1">
      <alignment vertical="center" wrapText="1"/>
    </xf>
    <xf numFmtId="0" fontId="18" fillId="12" borderId="29" xfId="0" applyFont="1" applyFill="1" applyBorder="1"/>
    <xf numFmtId="165" fontId="17" fillId="0" borderId="6" xfId="3" applyNumberFormat="1" applyFont="1" applyBorder="1" applyAlignment="1">
      <alignment horizontal="right" vertical="center" wrapText="1"/>
    </xf>
    <xf numFmtId="165" fontId="17" fillId="0" borderId="2" xfId="8" applyNumberFormat="1" applyFont="1" applyBorder="1" applyAlignment="1">
      <alignment horizontal="right" vertical="center" wrapText="1"/>
    </xf>
    <xf numFmtId="165" fontId="17" fillId="0" borderId="2" xfId="8" applyNumberFormat="1" applyFont="1" applyFill="1" applyBorder="1" applyAlignment="1">
      <alignment vertical="center" wrapText="1"/>
    </xf>
    <xf numFmtId="165" fontId="17" fillId="0" borderId="3" xfId="8" applyNumberFormat="1" applyFont="1" applyFill="1" applyBorder="1" applyAlignment="1">
      <alignment vertical="center" wrapText="1"/>
    </xf>
    <xf numFmtId="2" fontId="17" fillId="0" borderId="14" xfId="3" applyNumberFormat="1" applyFont="1" applyBorder="1" applyAlignment="1">
      <alignment horizontal="right" vertical="center" wrapText="1"/>
    </xf>
    <xf numFmtId="168" fontId="0" fillId="0" borderId="0" xfId="0" applyNumberFormat="1"/>
    <xf numFmtId="168" fontId="48" fillId="0" borderId="14" xfId="0" applyNumberFormat="1" applyFont="1" applyBorder="1" applyAlignment="1">
      <alignment horizontal="right"/>
    </xf>
    <xf numFmtId="0" fontId="49" fillId="0" borderId="24" xfId="3" applyFont="1" applyBorder="1" applyAlignment="1">
      <alignment vertical="center" wrapText="1"/>
    </xf>
    <xf numFmtId="0" fontId="48" fillId="0" borderId="25" xfId="3" applyFont="1" applyBorder="1" applyAlignment="1">
      <alignment vertical="center" wrapText="1"/>
    </xf>
    <xf numFmtId="0" fontId="48" fillId="0" borderId="26" xfId="3" applyFont="1" applyBorder="1" applyAlignment="1">
      <alignment vertical="center" wrapText="1"/>
    </xf>
    <xf numFmtId="164" fontId="17" fillId="0" borderId="26" xfId="1" applyNumberFormat="1" applyFont="1" applyBorder="1" applyAlignment="1">
      <alignment vertical="center" wrapText="1"/>
    </xf>
    <xf numFmtId="0" fontId="61" fillId="0" borderId="0" xfId="0" applyFont="1"/>
    <xf numFmtId="169" fontId="17" fillId="0" borderId="25" xfId="1" applyNumberFormat="1" applyFont="1" applyBorder="1" applyAlignment="1">
      <alignment vertical="center" wrapText="1"/>
    </xf>
    <xf numFmtId="169" fontId="17" fillId="0" borderId="33" xfId="1" applyNumberFormat="1" applyFont="1" applyBorder="1" applyAlignment="1">
      <alignment vertical="center" wrapText="1"/>
    </xf>
    <xf numFmtId="169" fontId="19" fillId="0" borderId="26" xfId="1" applyNumberFormat="1" applyFont="1" applyBorder="1" applyAlignment="1">
      <alignment vertical="center" wrapText="1"/>
    </xf>
    <xf numFmtId="169" fontId="19" fillId="0" borderId="34" xfId="1" applyNumberFormat="1" applyFont="1" applyBorder="1" applyAlignment="1">
      <alignment vertical="center" wrapText="1"/>
    </xf>
    <xf numFmtId="3" fontId="2" fillId="0" borderId="25" xfId="3" applyNumberFormat="1" applyBorder="1"/>
    <xf numFmtId="3" fontId="19" fillId="0" borderId="26" xfId="3" applyNumberFormat="1" applyFont="1" applyBorder="1" applyAlignment="1">
      <alignment vertical="center"/>
    </xf>
    <xf numFmtId="3" fontId="54" fillId="0" borderId="26" xfId="3" applyNumberFormat="1" applyFont="1" applyBorder="1"/>
    <xf numFmtId="3" fontId="17" fillId="0" borderId="25" xfId="3" applyNumberFormat="1" applyFont="1" applyBorder="1"/>
    <xf numFmtId="171" fontId="2" fillId="0" borderId="25" xfId="3" applyNumberFormat="1" applyBorder="1"/>
    <xf numFmtId="171" fontId="54" fillId="0" borderId="26" xfId="3" applyNumberFormat="1" applyFont="1" applyBorder="1"/>
    <xf numFmtId="164" fontId="20" fillId="0" borderId="25" xfId="1" applyNumberFormat="1" applyFont="1" applyBorder="1"/>
    <xf numFmtId="164" fontId="20" fillId="0" borderId="26" xfId="1" applyNumberFormat="1" applyFont="1" applyBorder="1"/>
    <xf numFmtId="164" fontId="20" fillId="2" borderId="25" xfId="1" applyNumberFormat="1" applyFont="1" applyFill="1" applyBorder="1"/>
    <xf numFmtId="0" fontId="62" fillId="0" borderId="0" xfId="0" applyFont="1"/>
    <xf numFmtId="43" fontId="48" fillId="0" borderId="25" xfId="1" applyFont="1" applyBorder="1" applyAlignment="1">
      <alignment horizontal="right" vertical="center" wrapText="1"/>
    </xf>
    <xf numFmtId="9" fontId="35" fillId="2" borderId="26" xfId="0" applyNumberFormat="1" applyFont="1" applyFill="1" applyBorder="1"/>
    <xf numFmtId="164" fontId="35" fillId="0" borderId="25" xfId="1" applyNumberFormat="1" applyFont="1" applyBorder="1"/>
    <xf numFmtId="3" fontId="16" fillId="2" borderId="24" xfId="0" applyNumberFormat="1" applyFont="1" applyFill="1" applyBorder="1" applyAlignment="1">
      <alignment horizontal="right" vertical="center" wrapText="1"/>
    </xf>
    <xf numFmtId="0" fontId="16" fillId="16" borderId="24" xfId="0" applyFont="1" applyFill="1" applyBorder="1" applyAlignment="1">
      <alignment horizontal="right" vertical="center" wrapText="1"/>
    </xf>
    <xf numFmtId="164" fontId="37" fillId="2" borderId="25" xfId="1" applyNumberFormat="1" applyFont="1" applyFill="1" applyBorder="1" applyAlignment="1">
      <alignment horizontal="right" vertical="center" wrapText="1"/>
    </xf>
    <xf numFmtId="169" fontId="17" fillId="2" borderId="33" xfId="1" applyNumberFormat="1" applyFont="1" applyFill="1" applyBorder="1" applyAlignment="1">
      <alignment vertical="center" wrapText="1"/>
    </xf>
    <xf numFmtId="0" fontId="64" fillId="0" borderId="0" xfId="3" applyFont="1"/>
    <xf numFmtId="168" fontId="49" fillId="0" borderId="14" xfId="0" applyNumberFormat="1" applyFont="1" applyBorder="1" applyAlignment="1">
      <alignment horizontal="right"/>
    </xf>
    <xf numFmtId="0" fontId="56" fillId="0" borderId="0" xfId="0" applyFont="1" applyAlignment="1">
      <alignment vertical="center"/>
    </xf>
    <xf numFmtId="0" fontId="65" fillId="3" borderId="29" xfId="3" applyFont="1" applyFill="1" applyBorder="1" applyAlignment="1">
      <alignment vertical="center" wrapText="1"/>
    </xf>
    <xf numFmtId="0" fontId="65" fillId="3" borderId="24" xfId="3" applyFont="1" applyFill="1" applyBorder="1" applyAlignment="1">
      <alignment vertical="center" wrapText="1"/>
    </xf>
    <xf numFmtId="0" fontId="68" fillId="0" borderId="0" xfId="0" applyFont="1"/>
    <xf numFmtId="166" fontId="48" fillId="0" borderId="59" xfId="0" applyNumberFormat="1" applyFont="1" applyBorder="1" applyAlignment="1">
      <alignment horizontal="right" vertical="center" wrapText="1"/>
    </xf>
    <xf numFmtId="10" fontId="66" fillId="0" borderId="25" xfId="0" applyNumberFormat="1" applyFont="1" applyBorder="1" applyAlignment="1">
      <alignment horizontal="right" vertical="center" wrapText="1"/>
    </xf>
    <xf numFmtId="10" fontId="67" fillId="0" borderId="25" xfId="0" applyNumberFormat="1" applyFont="1" applyBorder="1" applyAlignment="1">
      <alignment horizontal="right" vertical="center" wrapText="1"/>
    </xf>
    <xf numFmtId="10" fontId="67" fillId="0" borderId="26" xfId="0" applyNumberFormat="1" applyFont="1" applyBorder="1" applyAlignment="1">
      <alignment horizontal="right" vertical="center" wrapText="1"/>
    </xf>
    <xf numFmtId="0" fontId="42" fillId="0" borderId="0" xfId="0" applyFont="1"/>
    <xf numFmtId="0" fontId="57" fillId="0" borderId="0" xfId="0" applyFont="1" applyAlignment="1">
      <alignment vertical="center"/>
    </xf>
    <xf numFmtId="0" fontId="14" fillId="0" borderId="0" xfId="0" applyFont="1" applyAlignment="1">
      <alignment vertical="center"/>
    </xf>
    <xf numFmtId="0" fontId="43" fillId="0" borderId="0" xfId="0" applyFont="1"/>
    <xf numFmtId="164" fontId="73" fillId="0" borderId="25" xfId="1" applyNumberFormat="1" applyFont="1" applyBorder="1"/>
    <xf numFmtId="0" fontId="69" fillId="0" borderId="0" xfId="0" applyFont="1"/>
    <xf numFmtId="0" fontId="0" fillId="0" borderId="0" xfId="0" applyAlignment="1">
      <alignment horizontal="left"/>
    </xf>
    <xf numFmtId="0" fontId="22" fillId="0" borderId="0" xfId="0" applyFont="1" applyAlignment="1">
      <alignment horizontal="left" vertical="top" wrapText="1"/>
    </xf>
    <xf numFmtId="0" fontId="3" fillId="3" borderId="24" xfId="2" applyFill="1" applyBorder="1" applyAlignment="1">
      <alignment vertical="center" wrapText="1"/>
    </xf>
    <xf numFmtId="0" fontId="3" fillId="9" borderId="24" xfId="2" applyFill="1" applyBorder="1" applyAlignment="1">
      <alignment vertical="center" wrapText="1"/>
    </xf>
    <xf numFmtId="166" fontId="49" fillId="0" borderId="39" xfId="0" applyNumberFormat="1" applyFont="1" applyBorder="1" applyAlignment="1">
      <alignment horizontal="right" vertical="center" wrapText="1"/>
    </xf>
    <xf numFmtId="166" fontId="49" fillId="0" borderId="46" xfId="0" applyNumberFormat="1" applyFont="1" applyBorder="1" applyAlignment="1">
      <alignment horizontal="right" vertical="center" wrapText="1"/>
    </xf>
    <xf numFmtId="166" fontId="48" fillId="0" borderId="41" xfId="0" applyNumberFormat="1" applyFont="1" applyBorder="1" applyAlignment="1">
      <alignment horizontal="right" vertical="center" wrapText="1"/>
    </xf>
    <xf numFmtId="166" fontId="48" fillId="0" borderId="46" xfId="0" applyNumberFormat="1" applyFont="1" applyBorder="1" applyAlignment="1">
      <alignment horizontal="right" vertical="center" wrapText="1"/>
    </xf>
    <xf numFmtId="166" fontId="48" fillId="0" borderId="58" xfId="0" applyNumberFormat="1" applyFont="1" applyBorder="1" applyAlignment="1">
      <alignment horizontal="right" vertical="center" wrapText="1"/>
    </xf>
    <xf numFmtId="0" fontId="3" fillId="13" borderId="24" xfId="2" applyFill="1" applyBorder="1" applyAlignment="1">
      <alignment horizontal="left" vertical="center" wrapText="1"/>
    </xf>
    <xf numFmtId="0" fontId="3" fillId="3" borderId="12" xfId="2" applyFill="1" applyBorder="1" applyAlignment="1">
      <alignment horizontal="left" vertical="center" wrapText="1"/>
    </xf>
    <xf numFmtId="0" fontId="16" fillId="13" borderId="65" xfId="0" applyFont="1" applyFill="1" applyBorder="1" applyAlignment="1">
      <alignment horizontal="left" vertical="center" wrapText="1"/>
    </xf>
    <xf numFmtId="0" fontId="3" fillId="0" borderId="15" xfId="2" applyBorder="1"/>
    <xf numFmtId="2" fontId="48" fillId="0" borderId="26" xfId="0" applyNumberFormat="1" applyFont="1" applyBorder="1"/>
    <xf numFmtId="0" fontId="70" fillId="0" borderId="0" xfId="2" applyFont="1" applyAlignment="1">
      <alignment horizontal="left" vertical="top" wrapText="1"/>
    </xf>
    <xf numFmtId="9" fontId="17" fillId="0" borderId="25" xfId="3" applyNumberFormat="1" applyFont="1" applyBorder="1" applyAlignment="1">
      <alignment horizontal="right"/>
    </xf>
    <xf numFmtId="0" fontId="74" fillId="0" borderId="0" xfId="0" applyFont="1" applyAlignment="1">
      <alignment wrapText="1"/>
    </xf>
    <xf numFmtId="0" fontId="75" fillId="0" borderId="0" xfId="0" applyFont="1"/>
    <xf numFmtId="172" fontId="17" fillId="0" borderId="26" xfId="3" applyNumberFormat="1" applyFont="1" applyBorder="1" applyAlignment="1">
      <alignment horizontal="right" vertical="center" wrapText="1"/>
    </xf>
    <xf numFmtId="172" fontId="17" fillId="0" borderId="34" xfId="3" applyNumberFormat="1" applyFont="1" applyBorder="1" applyAlignment="1">
      <alignment horizontal="right" vertical="center" wrapText="1"/>
    </xf>
    <xf numFmtId="172" fontId="20" fillId="0" borderId="26" xfId="0" applyNumberFormat="1" applyFont="1" applyBorder="1"/>
    <xf numFmtId="166" fontId="20" fillId="0" borderId="26" xfId="0" applyNumberFormat="1" applyFont="1" applyBorder="1"/>
    <xf numFmtId="164" fontId="16" fillId="8" borderId="26" xfId="1" applyNumberFormat="1" applyFont="1" applyFill="1" applyBorder="1"/>
    <xf numFmtId="0" fontId="19" fillId="0" borderId="66" xfId="3" applyFont="1" applyBorder="1" applyAlignment="1">
      <alignment vertical="center" wrapText="1"/>
    </xf>
    <xf numFmtId="0" fontId="19" fillId="0" borderId="5" xfId="3" applyFont="1" applyBorder="1" applyAlignment="1">
      <alignment vertical="center" wrapText="1"/>
    </xf>
    <xf numFmtId="0" fontId="17" fillId="0" borderId="5" xfId="3" applyFont="1" applyBorder="1" applyAlignment="1">
      <alignment vertical="center" wrapText="1"/>
    </xf>
    <xf numFmtId="0" fontId="17" fillId="0" borderId="67" xfId="3" applyFont="1" applyBorder="1" applyAlignment="1">
      <alignment vertical="center" wrapText="1"/>
    </xf>
    <xf numFmtId="0" fontId="3" fillId="0" borderId="24" xfId="2" applyBorder="1"/>
    <xf numFmtId="0" fontId="3" fillId="14" borderId="37" xfId="2" applyFill="1" applyBorder="1" applyAlignment="1">
      <alignment horizontal="left" vertical="center" wrapText="1"/>
    </xf>
    <xf numFmtId="0" fontId="3" fillId="14" borderId="1" xfId="2" applyFill="1" applyBorder="1" applyAlignment="1">
      <alignment horizontal="left" vertical="center" wrapText="1"/>
    </xf>
    <xf numFmtId="0" fontId="3" fillId="14" borderId="32" xfId="2" applyFill="1" applyBorder="1" applyAlignment="1">
      <alignment horizontal="left" vertical="center" wrapText="1"/>
    </xf>
    <xf numFmtId="0" fontId="3" fillId="0" borderId="26" xfId="2" applyBorder="1" applyAlignment="1">
      <alignment vertical="center" wrapText="1"/>
    </xf>
    <xf numFmtId="0" fontId="76" fillId="0" borderId="64" xfId="3" applyFont="1" applyBorder="1" applyAlignment="1">
      <alignment vertical="center"/>
    </xf>
    <xf numFmtId="0" fontId="77" fillId="0" borderId="0" xfId="2" applyFont="1"/>
    <xf numFmtId="0" fontId="78" fillId="0" borderId="0" xfId="0" applyFont="1"/>
    <xf numFmtId="171" fontId="0" fillId="0" borderId="25" xfId="0" applyNumberFormat="1" applyBorder="1"/>
    <xf numFmtId="171" fontId="48" fillId="0" borderId="25" xfId="1" applyNumberFormat="1" applyFont="1" applyFill="1" applyBorder="1" applyAlignment="1">
      <alignment horizontal="right" vertical="center" wrapText="1"/>
    </xf>
    <xf numFmtId="171" fontId="0" fillId="0" borderId="25" xfId="0" applyNumberFormat="1" applyBorder="1" applyAlignment="1">
      <alignment horizontal="right"/>
    </xf>
    <xf numFmtId="164" fontId="48" fillId="0" borderId="25" xfId="1" applyNumberFormat="1" applyFont="1" applyFill="1" applyBorder="1" applyAlignment="1">
      <alignment horizontal="right" vertical="center" wrapText="1"/>
    </xf>
    <xf numFmtId="169" fontId="17" fillId="0" borderId="33" xfId="1" applyNumberFormat="1" applyFont="1" applyFill="1" applyBorder="1" applyAlignment="1">
      <alignment vertical="center" wrapText="1"/>
    </xf>
    <xf numFmtId="169" fontId="19" fillId="0" borderId="26" xfId="1" applyNumberFormat="1" applyFont="1" applyFill="1" applyBorder="1" applyAlignment="1">
      <alignment vertical="center" wrapText="1"/>
    </xf>
    <xf numFmtId="0" fontId="76" fillId="0" borderId="0" xfId="3" applyFont="1" applyAlignment="1">
      <alignment vertical="center"/>
    </xf>
    <xf numFmtId="0" fontId="16" fillId="14" borderId="37" xfId="3" applyFont="1" applyFill="1" applyBorder="1" applyAlignment="1">
      <alignment horizontal="left" vertical="center" wrapText="1"/>
    </xf>
    <xf numFmtId="0" fontId="16" fillId="14" borderId="25" xfId="3" applyFont="1" applyFill="1" applyBorder="1" applyAlignment="1">
      <alignment horizontal="left" vertical="center" wrapText="1"/>
    </xf>
    <xf numFmtId="0" fontId="70" fillId="14" borderId="14" xfId="2" applyFont="1" applyFill="1" applyBorder="1" applyAlignment="1">
      <alignment horizontal="left" vertical="center" wrapText="1"/>
    </xf>
    <xf numFmtId="168" fontId="5" fillId="0" borderId="25" xfId="3" applyNumberFormat="1" applyFont="1" applyBorder="1" applyAlignment="1">
      <alignment horizontal="right" vertical="center" wrapText="1"/>
    </xf>
    <xf numFmtId="168" fontId="4" fillId="0" borderId="25" xfId="3" applyNumberFormat="1" applyFont="1" applyBorder="1" applyAlignment="1">
      <alignment horizontal="right" vertical="center" wrapText="1"/>
    </xf>
    <xf numFmtId="168" fontId="11" fillId="0" borderId="26" xfId="0" applyNumberFormat="1" applyFont="1" applyBorder="1" applyAlignment="1">
      <alignment horizontal="right" vertical="center" wrapText="1"/>
    </xf>
    <xf numFmtId="0" fontId="16" fillId="13" borderId="69" xfId="0" applyFont="1" applyFill="1" applyBorder="1" applyAlignment="1">
      <alignment horizontal="center" vertical="center" wrapText="1"/>
    </xf>
    <xf numFmtId="0" fontId="16" fillId="13" borderId="70" xfId="0" applyFont="1" applyFill="1" applyBorder="1" applyAlignment="1">
      <alignment horizontal="center" vertical="center" wrapText="1"/>
    </xf>
    <xf numFmtId="0" fontId="16" fillId="0" borderId="24" xfId="0" applyFont="1" applyBorder="1" applyAlignment="1">
      <alignment horizontal="right" vertical="center" wrapText="1"/>
    </xf>
    <xf numFmtId="0" fontId="48" fillId="0" borderId="33" xfId="0" applyFont="1" applyBorder="1" applyAlignment="1">
      <alignment vertical="center" wrapText="1"/>
    </xf>
    <xf numFmtId="0" fontId="49" fillId="0" borderId="34" xfId="0" applyFont="1" applyBorder="1" applyAlignment="1">
      <alignment vertical="center" wrapText="1"/>
    </xf>
    <xf numFmtId="0" fontId="79" fillId="0" borderId="0" xfId="0" applyFont="1"/>
    <xf numFmtId="0" fontId="80" fillId="0" borderId="0" xfId="0" applyFont="1" applyAlignment="1">
      <alignment vertical="center"/>
    </xf>
    <xf numFmtId="168" fontId="19" fillId="0" borderId="25" xfId="3" applyNumberFormat="1" applyFont="1" applyBorder="1" applyAlignment="1">
      <alignment vertical="center" wrapText="1"/>
    </xf>
    <xf numFmtId="168" fontId="17" fillId="0" borderId="25" xfId="3" applyNumberFormat="1" applyFont="1" applyBorder="1" applyAlignment="1">
      <alignment vertical="center" wrapText="1"/>
    </xf>
    <xf numFmtId="168" fontId="17" fillId="0" borderId="26" xfId="3" applyNumberFormat="1" applyFont="1" applyBorder="1" applyAlignment="1">
      <alignment vertical="center" wrapText="1"/>
    </xf>
    <xf numFmtId="166" fontId="19" fillId="0" borderId="25" xfId="3" applyNumberFormat="1" applyFont="1" applyBorder="1" applyAlignment="1">
      <alignment vertical="center" wrapText="1"/>
    </xf>
    <xf numFmtId="166" fontId="17" fillId="0" borderId="26" xfId="3" applyNumberFormat="1" applyFont="1" applyBorder="1" applyAlignment="1">
      <alignment vertical="center" wrapText="1"/>
    </xf>
    <xf numFmtId="3" fontId="19" fillId="0" borderId="25" xfId="3" applyNumberFormat="1" applyFont="1" applyBorder="1" applyAlignment="1">
      <alignment vertical="center" wrapText="1"/>
    </xf>
    <xf numFmtId="4" fontId="16" fillId="0" borderId="24" xfId="3" applyNumberFormat="1" applyFont="1" applyBorder="1" applyAlignment="1">
      <alignment horizontal="right" vertical="top" wrapText="1"/>
    </xf>
    <xf numFmtId="4" fontId="37" fillId="0" borderId="25" xfId="3" applyNumberFormat="1" applyFont="1" applyBorder="1" applyAlignment="1">
      <alignment horizontal="right" vertical="top" wrapText="1"/>
    </xf>
    <xf numFmtId="4" fontId="37" fillId="0" borderId="26" xfId="3" applyNumberFormat="1" applyFont="1" applyBorder="1" applyAlignment="1">
      <alignment horizontal="right" vertical="top" wrapText="1"/>
    </xf>
    <xf numFmtId="4" fontId="16" fillId="0" borderId="12" xfId="3" applyNumberFormat="1" applyFont="1" applyBorder="1" applyAlignment="1">
      <alignment horizontal="right" vertical="top" wrapText="1"/>
    </xf>
    <xf numFmtId="4" fontId="16" fillId="0" borderId="32" xfId="3" applyNumberFormat="1" applyFont="1" applyBorder="1" applyAlignment="1">
      <alignment horizontal="right" vertical="top" wrapText="1"/>
    </xf>
    <xf numFmtId="4" fontId="16" fillId="0" borderId="14" xfId="3" applyNumberFormat="1" applyFont="1" applyBorder="1" applyAlignment="1">
      <alignment horizontal="right" vertical="top" wrapText="1"/>
    </xf>
    <xf numFmtId="4" fontId="16" fillId="0" borderId="25" xfId="3" applyNumberFormat="1" applyFont="1" applyBorder="1" applyAlignment="1">
      <alignment horizontal="right" vertical="top" wrapText="1"/>
    </xf>
    <xf numFmtId="4" fontId="16" fillId="0" borderId="33" xfId="3" applyNumberFormat="1" applyFont="1" applyBorder="1" applyAlignment="1">
      <alignment horizontal="right" vertical="top" wrapText="1"/>
    </xf>
    <xf numFmtId="4" fontId="16" fillId="0" borderId="15" xfId="3" applyNumberFormat="1" applyFont="1" applyBorder="1" applyAlignment="1">
      <alignment horizontal="right" vertical="top" wrapText="1"/>
    </xf>
    <xf numFmtId="4" fontId="16" fillId="0" borderId="26" xfId="3" applyNumberFormat="1" applyFont="1" applyBorder="1" applyAlignment="1">
      <alignment horizontal="right" vertical="top" wrapText="1"/>
    </xf>
    <xf numFmtId="4" fontId="16" fillId="0" borderId="34" xfId="3" applyNumberFormat="1" applyFont="1" applyBorder="1" applyAlignment="1">
      <alignment horizontal="right" vertical="top" wrapText="1"/>
    </xf>
    <xf numFmtId="0" fontId="59" fillId="0" borderId="0" xfId="2" applyFont="1" applyFill="1"/>
    <xf numFmtId="0" fontId="59" fillId="0" borderId="0" xfId="2" applyFont="1"/>
    <xf numFmtId="164" fontId="73" fillId="0" borderId="25" xfId="1" applyNumberFormat="1" applyFont="1" applyFill="1" applyBorder="1"/>
    <xf numFmtId="0" fontId="17" fillId="0" borderId="33" xfId="3" applyFont="1" applyBorder="1" applyAlignment="1">
      <alignment vertical="center" wrapText="1"/>
    </xf>
    <xf numFmtId="9" fontId="17" fillId="0" borderId="26" xfId="3" applyNumberFormat="1" applyFont="1" applyBorder="1" applyAlignment="1">
      <alignment vertical="center" wrapText="1"/>
    </xf>
    <xf numFmtId="3" fontId="82" fillId="0" borderId="25" xfId="0" applyNumberFormat="1" applyFont="1" applyBorder="1"/>
    <xf numFmtId="0" fontId="83" fillId="0" borderId="25" xfId="0" applyFont="1" applyBorder="1"/>
    <xf numFmtId="3" fontId="83" fillId="0" borderId="25" xfId="0" applyNumberFormat="1" applyFont="1" applyBorder="1"/>
    <xf numFmtId="9" fontId="82" fillId="9" borderId="26" xfId="0" applyNumberFormat="1" applyFont="1" applyFill="1" applyBorder="1"/>
    <xf numFmtId="3" fontId="48" fillId="0" borderId="25" xfId="0" applyNumberFormat="1" applyFont="1" applyBorder="1" applyAlignment="1">
      <alignment wrapText="1"/>
    </xf>
    <xf numFmtId="3" fontId="48" fillId="0" borderId="26" xfId="0" applyNumberFormat="1" applyFont="1" applyBorder="1" applyAlignment="1">
      <alignment wrapText="1"/>
    </xf>
    <xf numFmtId="170" fontId="49" fillId="0" borderId="24" xfId="3" applyNumberFormat="1" applyFont="1" applyBorder="1" applyAlignment="1">
      <alignment vertical="center" wrapText="1"/>
    </xf>
    <xf numFmtId="170" fontId="48" fillId="0" borderId="25" xfId="3" applyNumberFormat="1" applyFont="1" applyBorder="1" applyAlignment="1">
      <alignment vertical="center" wrapText="1"/>
    </xf>
    <xf numFmtId="170" fontId="48" fillId="0" borderId="26" xfId="3" applyNumberFormat="1" applyFont="1" applyBorder="1" applyAlignment="1">
      <alignment vertical="center" wrapText="1"/>
    </xf>
    <xf numFmtId="0" fontId="17" fillId="0" borderId="71" xfId="3" applyFont="1" applyBorder="1" applyAlignment="1">
      <alignment vertical="center" wrapText="1"/>
    </xf>
    <xf numFmtId="0" fontId="17" fillId="0" borderId="72" xfId="3" applyFont="1" applyBorder="1" applyAlignment="1">
      <alignment vertical="center" wrapText="1"/>
    </xf>
    <xf numFmtId="14" fontId="0" fillId="0" borderId="0" xfId="0" applyNumberFormat="1" applyFill="1"/>
    <xf numFmtId="164" fontId="20" fillId="0" borderId="25" xfId="1" applyNumberFormat="1" applyFont="1" applyFill="1" applyBorder="1"/>
    <xf numFmtId="0" fontId="63" fillId="11" borderId="0" xfId="2" applyFont="1" applyFill="1" applyAlignment="1">
      <alignment vertical="center"/>
    </xf>
    <xf numFmtId="0" fontId="84" fillId="0" borderId="0" xfId="0" applyFont="1"/>
    <xf numFmtId="0" fontId="85" fillId="0" borderId="0" xfId="2" applyFont="1" applyFill="1" applyAlignment="1">
      <alignment vertical="top"/>
    </xf>
    <xf numFmtId="43" fontId="19" fillId="0" borderId="1" xfId="1" applyFont="1" applyFill="1" applyBorder="1" applyAlignment="1">
      <alignment horizontal="right" vertical="center" wrapText="1"/>
    </xf>
    <xf numFmtId="169" fontId="73" fillId="0" borderId="2" xfId="1" applyNumberFormat="1" applyFont="1" applyFill="1" applyBorder="1" applyAlignment="1">
      <alignment horizontal="right" vertical="center" wrapText="1"/>
    </xf>
    <xf numFmtId="43" fontId="73" fillId="0" borderId="2" xfId="1" applyFont="1" applyFill="1" applyBorder="1" applyAlignment="1">
      <alignment horizontal="right" vertical="center" wrapText="1"/>
    </xf>
    <xf numFmtId="165" fontId="17" fillId="0" borderId="25" xfId="3" applyNumberFormat="1" applyFont="1" applyFill="1" applyBorder="1" applyAlignment="1">
      <alignment horizontal="right" vertical="center" wrapText="1"/>
    </xf>
    <xf numFmtId="164" fontId="20" fillId="0" borderId="25" xfId="0" applyNumberFormat="1" applyFont="1" applyBorder="1" applyAlignment="1">
      <alignment horizontal="right"/>
    </xf>
    <xf numFmtId="166" fontId="20" fillId="0" borderId="25" xfId="0" applyNumberFormat="1" applyFont="1" applyFill="1" applyBorder="1"/>
    <xf numFmtId="166" fontId="17" fillId="0" borderId="14" xfId="3" applyNumberFormat="1" applyFont="1" applyFill="1" applyBorder="1" applyAlignment="1">
      <alignment vertical="center" wrapText="1"/>
    </xf>
    <xf numFmtId="166" fontId="17" fillId="0" borderId="15" xfId="3" applyNumberFormat="1" applyFont="1" applyFill="1" applyBorder="1" applyAlignment="1">
      <alignment vertical="center" wrapText="1"/>
    </xf>
    <xf numFmtId="0" fontId="80" fillId="0" borderId="0" xfId="0" applyFont="1" applyFill="1"/>
    <xf numFmtId="166" fontId="69" fillId="0" borderId="25" xfId="0" applyNumberFormat="1" applyFont="1" applyBorder="1"/>
    <xf numFmtId="172" fontId="69" fillId="0" borderId="26" xfId="0" applyNumberFormat="1" applyFont="1" applyBorder="1"/>
    <xf numFmtId="0" fontId="3" fillId="0" borderId="25" xfId="2" applyBorder="1"/>
    <xf numFmtId="164" fontId="87" fillId="0" borderId="25" xfId="2" applyNumberFormat="1" applyFont="1" applyBorder="1" applyAlignment="1">
      <alignment horizontal="right"/>
    </xf>
    <xf numFmtId="0" fontId="85" fillId="0" borderId="0" xfId="2" applyFont="1"/>
    <xf numFmtId="0" fontId="87" fillId="0" borderId="14" xfId="2" applyFont="1" applyBorder="1" applyAlignment="1">
      <alignment wrapText="1"/>
    </xf>
    <xf numFmtId="0" fontId="86" fillId="15" borderId="0" xfId="2" applyFont="1" applyFill="1" applyAlignment="1">
      <alignment horizontal="left" vertical="center"/>
    </xf>
    <xf numFmtId="0" fontId="60" fillId="0" borderId="0" xfId="2" applyFont="1" applyFill="1" applyAlignment="1">
      <alignment horizontal="left" vertical="center"/>
    </xf>
    <xf numFmtId="0" fontId="58" fillId="15" borderId="0" xfId="2" applyFont="1" applyFill="1" applyAlignment="1">
      <alignment horizontal="left" vertical="center"/>
    </xf>
    <xf numFmtId="0" fontId="59" fillId="0" borderId="0" xfId="2" applyFont="1" applyFill="1" applyAlignment="1">
      <alignment horizontal="left"/>
    </xf>
    <xf numFmtId="0" fontId="0" fillId="0" borderId="0" xfId="0" applyAlignment="1">
      <alignment horizontal="left" wrapText="1"/>
    </xf>
    <xf numFmtId="0" fontId="16" fillId="14" borderId="1" xfId="3" applyFont="1" applyFill="1" applyBorder="1" applyAlignment="1">
      <alignment vertical="center" wrapText="1"/>
    </xf>
    <xf numFmtId="0" fontId="16" fillId="14" borderId="3" xfId="3" applyFont="1" applyFill="1" applyBorder="1" applyAlignment="1">
      <alignment vertical="center" wrapText="1"/>
    </xf>
    <xf numFmtId="0" fontId="16" fillId="14" borderId="4" xfId="3" applyFont="1" applyFill="1" applyBorder="1" applyAlignment="1">
      <alignment horizontal="center" vertical="center" wrapText="1"/>
    </xf>
    <xf numFmtId="0" fontId="3" fillId="14" borderId="4" xfId="2" applyFill="1" applyBorder="1" applyAlignment="1">
      <alignment horizontal="center" vertical="center" wrapText="1"/>
    </xf>
    <xf numFmtId="0" fontId="0" fillId="4" borderId="0" xfId="0" applyFill="1" applyAlignment="1">
      <alignment horizontal="left" wrapText="1"/>
    </xf>
    <xf numFmtId="0" fontId="16" fillId="5" borderId="1" xfId="3" applyFont="1" applyFill="1" applyBorder="1" applyAlignment="1">
      <alignment vertical="center" wrapText="1"/>
    </xf>
    <xf numFmtId="0" fontId="16" fillId="5" borderId="3" xfId="3" applyFont="1" applyFill="1" applyBorder="1" applyAlignment="1">
      <alignment vertical="center" wrapText="1"/>
    </xf>
    <xf numFmtId="0" fontId="16" fillId="5" borderId="2" xfId="3" applyFont="1" applyFill="1" applyBorder="1" applyAlignment="1">
      <alignment vertical="center" wrapText="1"/>
    </xf>
    <xf numFmtId="0" fontId="16" fillId="5" borderId="4" xfId="3" applyFont="1" applyFill="1" applyBorder="1" applyAlignment="1">
      <alignment horizontal="center" vertical="center" wrapText="1"/>
    </xf>
    <xf numFmtId="0" fontId="16" fillId="5" borderId="27" xfId="3" applyFont="1" applyFill="1" applyBorder="1" applyAlignment="1">
      <alignment horizontal="center" vertical="center" wrapText="1"/>
    </xf>
    <xf numFmtId="0" fontId="16" fillId="5" borderId="28" xfId="3" applyFont="1" applyFill="1" applyBorder="1" applyAlignment="1">
      <alignment horizontal="center" vertical="center" wrapText="1"/>
    </xf>
    <xf numFmtId="0" fontId="58" fillId="11" borderId="0" xfId="2" applyFont="1" applyFill="1" applyAlignment="1">
      <alignment horizontal="left" vertical="center"/>
    </xf>
    <xf numFmtId="0" fontId="72" fillId="11" borderId="0" xfId="2" applyFont="1" applyFill="1" applyAlignment="1">
      <alignment horizontal="left" vertical="top"/>
    </xf>
    <xf numFmtId="0" fontId="71" fillId="0" borderId="0" xfId="2" applyFont="1" applyAlignment="1">
      <alignment horizontal="left" vertical="center"/>
    </xf>
    <xf numFmtId="0" fontId="71" fillId="0" borderId="0" xfId="2" applyFont="1" applyAlignment="1">
      <alignment horizontal="left"/>
    </xf>
    <xf numFmtId="0" fontId="17" fillId="2" borderId="30" xfId="3" applyFont="1" applyFill="1" applyBorder="1" applyAlignment="1">
      <alignment horizontal="left" vertical="center" wrapText="1"/>
    </xf>
    <xf numFmtId="0" fontId="17" fillId="2" borderId="56" xfId="3" applyFont="1" applyFill="1" applyBorder="1" applyAlignment="1">
      <alignment horizontal="left" vertical="center" wrapText="1"/>
    </xf>
    <xf numFmtId="0" fontId="77" fillId="0" borderId="0" xfId="2" applyFont="1" applyAlignment="1">
      <alignment horizontal="left" vertical="top" wrapText="1"/>
    </xf>
    <xf numFmtId="0" fontId="16" fillId="3" borderId="35" xfId="3" applyFont="1" applyFill="1" applyBorder="1" applyAlignment="1">
      <alignment horizontal="center" vertical="center" wrapText="1"/>
    </xf>
    <xf numFmtId="0" fontId="16" fillId="3" borderId="36" xfId="3" applyFont="1" applyFill="1" applyBorder="1" applyAlignment="1">
      <alignment horizontal="center" vertical="center" wrapText="1"/>
    </xf>
    <xf numFmtId="0" fontId="16" fillId="3" borderId="24" xfId="3" applyFont="1" applyFill="1" applyBorder="1" applyAlignment="1">
      <alignment horizontal="left" vertical="center" wrapText="1"/>
    </xf>
    <xf numFmtId="0" fontId="16" fillId="3" borderId="25" xfId="3" applyFont="1" applyFill="1" applyBorder="1" applyAlignment="1">
      <alignment horizontal="left" vertical="center" wrapText="1"/>
    </xf>
    <xf numFmtId="0" fontId="16" fillId="13" borderId="35" xfId="0" applyFont="1" applyFill="1" applyBorder="1" applyAlignment="1">
      <alignment horizontal="center" vertical="center" wrapText="1"/>
    </xf>
    <xf numFmtId="0" fontId="16" fillId="13" borderId="36" xfId="0" applyFont="1" applyFill="1" applyBorder="1" applyAlignment="1">
      <alignment horizontal="center" vertical="center" wrapText="1"/>
    </xf>
    <xf numFmtId="0" fontId="16" fillId="3" borderId="26" xfId="3" applyFont="1" applyFill="1" applyBorder="1" applyAlignment="1">
      <alignment horizontal="left" vertical="center" wrapText="1"/>
    </xf>
    <xf numFmtId="0" fontId="17" fillId="0" borderId="31" xfId="3" applyFont="1" applyBorder="1" applyAlignment="1">
      <alignment horizontal="left" vertical="center" wrapText="1"/>
    </xf>
    <xf numFmtId="0" fontId="17" fillId="0" borderId="57" xfId="3" applyFont="1" applyBorder="1" applyAlignment="1">
      <alignment horizontal="left" vertical="center" wrapText="1"/>
    </xf>
    <xf numFmtId="0" fontId="79" fillId="0" borderId="0" xfId="0" applyFont="1" applyAlignment="1">
      <alignment vertical="center"/>
    </xf>
    <xf numFmtId="0" fontId="16" fillId="3" borderId="12" xfId="3" applyFont="1" applyFill="1" applyBorder="1" applyAlignment="1">
      <alignment horizontal="left" vertical="center" wrapText="1"/>
    </xf>
    <xf numFmtId="0" fontId="16" fillId="3" borderId="14" xfId="3" applyFont="1" applyFill="1" applyBorder="1" applyAlignment="1">
      <alignment horizontal="left" vertical="center" wrapText="1"/>
    </xf>
    <xf numFmtId="0" fontId="16" fillId="13" borderId="47" xfId="0" applyFont="1" applyFill="1" applyBorder="1" applyAlignment="1">
      <alignment horizontal="center" vertical="center" wrapText="1"/>
    </xf>
    <xf numFmtId="0" fontId="16" fillId="13" borderId="48" xfId="0" applyFont="1" applyFill="1" applyBorder="1" applyAlignment="1">
      <alignment horizontal="center" vertical="center" wrapText="1"/>
    </xf>
    <xf numFmtId="0" fontId="16" fillId="13" borderId="68" xfId="0" applyFont="1" applyFill="1" applyBorder="1" applyAlignment="1">
      <alignment horizontal="center" vertical="center" wrapText="1"/>
    </xf>
    <xf numFmtId="0" fontId="81" fillId="0" borderId="25" xfId="3" applyFont="1" applyBorder="1" applyAlignment="1">
      <alignment horizontal="center" vertical="center" wrapText="1"/>
    </xf>
    <xf numFmtId="0" fontId="81" fillId="0" borderId="26" xfId="3" applyFont="1" applyBorder="1" applyAlignment="1">
      <alignment horizontal="center" vertical="center" wrapText="1"/>
    </xf>
    <xf numFmtId="9" fontId="17" fillId="0" borderId="25" xfId="8" applyNumberFormat="1" applyFont="1" applyFill="1" applyBorder="1" applyAlignment="1">
      <alignment vertical="center" wrapText="1"/>
    </xf>
    <xf numFmtId="9" fontId="17" fillId="0" borderId="26" xfId="8" applyNumberFormat="1" applyFont="1" applyFill="1" applyBorder="1" applyAlignment="1">
      <alignment vertical="center" wrapText="1"/>
    </xf>
  </cellXfs>
  <cellStyles count="91">
    <cellStyle name="Comma" xfId="1" builtinId="3"/>
    <cellStyle name="Followed Hyperlink" xfId="54" builtinId="9" hidden="1"/>
    <cellStyle name="Followed Hyperlink" xfId="36" builtinId="9" hidden="1"/>
    <cellStyle name="Followed Hyperlink" xfId="55" builtinId="9" hidden="1"/>
    <cellStyle name="Followed Hyperlink" xfId="76" builtinId="9" hidden="1"/>
    <cellStyle name="Followed Hyperlink" xfId="49" builtinId="9" hidden="1"/>
    <cellStyle name="Followed Hyperlink" xfId="75" builtinId="9" hidden="1"/>
    <cellStyle name="Followed Hyperlink" xfId="40" builtinId="9" hidden="1"/>
    <cellStyle name="Followed Hyperlink" xfId="43" builtinId="9" hidden="1"/>
    <cellStyle name="Followed Hyperlink" xfId="86" builtinId="9" hidden="1"/>
    <cellStyle name="Followed Hyperlink" xfId="84" builtinId="9" hidden="1"/>
    <cellStyle name="Followed Hyperlink" xfId="16" builtinId="9" hidden="1"/>
    <cellStyle name="Followed Hyperlink" xfId="29" builtinId="9" hidden="1"/>
    <cellStyle name="Followed Hyperlink" xfId="11" builtinId="9" hidden="1"/>
    <cellStyle name="Followed Hyperlink" xfId="73" builtinId="9" hidden="1"/>
    <cellStyle name="Followed Hyperlink" xfId="89" builtinId="9" hidden="1"/>
    <cellStyle name="Followed Hyperlink" xfId="59" builtinId="9" hidden="1"/>
    <cellStyle name="Followed Hyperlink" xfId="61" builtinId="9" hidden="1"/>
    <cellStyle name="Followed Hyperlink" xfId="65" builtinId="9" hidden="1"/>
    <cellStyle name="Followed Hyperlink" xfId="9" builtinId="9" hidden="1"/>
    <cellStyle name="Followed Hyperlink" xfId="22" builtinId="9" hidden="1"/>
    <cellStyle name="Followed Hyperlink" xfId="42" builtinId="9" hidden="1"/>
    <cellStyle name="Followed Hyperlink" xfId="47" builtinId="9" hidden="1"/>
    <cellStyle name="Followed Hyperlink" xfId="63" builtinId="9" hidden="1"/>
    <cellStyle name="Followed Hyperlink" xfId="66" builtinId="9" hidden="1"/>
    <cellStyle name="Followed Hyperlink" xfId="20" builtinId="9" hidden="1"/>
    <cellStyle name="Followed Hyperlink" xfId="25" builtinId="9" hidden="1"/>
    <cellStyle name="Followed Hyperlink" xfId="56" builtinId="9" hidden="1"/>
    <cellStyle name="Followed Hyperlink" xfId="14" builtinId="9" hidden="1"/>
    <cellStyle name="Followed Hyperlink" xfId="62" builtinId="9" hidden="1"/>
    <cellStyle name="Followed Hyperlink" xfId="24" builtinId="9" hidden="1"/>
    <cellStyle name="Followed Hyperlink" xfId="57" builtinId="9" hidden="1"/>
    <cellStyle name="Followed Hyperlink" xfId="17" builtinId="9" hidden="1"/>
    <cellStyle name="Followed Hyperlink" xfId="44" builtinId="9" hidden="1"/>
    <cellStyle name="Followed Hyperlink" xfId="87" builtinId="9" hidden="1"/>
    <cellStyle name="Followed Hyperlink" xfId="12" builtinId="9" hidden="1"/>
    <cellStyle name="Followed Hyperlink" xfId="33" builtinId="9" hidden="1"/>
    <cellStyle name="Followed Hyperlink" xfId="30" builtinId="9" hidden="1"/>
    <cellStyle name="Followed Hyperlink" xfId="27" builtinId="9" hidden="1"/>
    <cellStyle name="Followed Hyperlink" xfId="15" builtinId="9" hidden="1"/>
    <cellStyle name="Followed Hyperlink" xfId="39" builtinId="9" hidden="1"/>
    <cellStyle name="Followed Hyperlink" xfId="80" builtinId="9" hidden="1"/>
    <cellStyle name="Followed Hyperlink" xfId="77" builtinId="9" hidden="1"/>
    <cellStyle name="Followed Hyperlink" xfId="51" builtinId="9" hidden="1"/>
    <cellStyle name="Followed Hyperlink" xfId="74" builtinId="9" hidden="1"/>
    <cellStyle name="Followed Hyperlink" xfId="72" builtinId="9" hidden="1"/>
    <cellStyle name="Followed Hyperlink" xfId="50" builtinId="9" hidden="1"/>
    <cellStyle name="Followed Hyperlink" xfId="46" builtinId="9" hidden="1"/>
    <cellStyle name="Followed Hyperlink" xfId="69" builtinId="9" hidden="1"/>
    <cellStyle name="Followed Hyperlink" xfId="60" builtinId="9" hidden="1"/>
    <cellStyle name="Followed Hyperlink" xfId="70" builtinId="9" hidden="1"/>
    <cellStyle name="Followed Hyperlink" xfId="71" builtinId="9" hidden="1"/>
    <cellStyle name="Followed Hyperlink" xfId="41" builtinId="9" hidden="1"/>
    <cellStyle name="Followed Hyperlink" xfId="13" builtinId="9" hidden="1"/>
    <cellStyle name="Followed Hyperlink" xfId="10" builtinId="9" hidden="1"/>
    <cellStyle name="Followed Hyperlink" xfId="6" builtinId="9" hidden="1"/>
    <cellStyle name="Followed Hyperlink" xfId="21" builtinId="9" hidden="1"/>
    <cellStyle name="Followed Hyperlink" xfId="79" builtinId="9" hidden="1"/>
    <cellStyle name="Followed Hyperlink" xfId="37" builtinId="9" hidden="1"/>
    <cellStyle name="Followed Hyperlink" xfId="45" builtinId="9" hidden="1"/>
    <cellStyle name="Followed Hyperlink" xfId="88" builtinId="9" hidden="1"/>
    <cellStyle name="Followed Hyperlink" xfId="38" builtinId="9" hidden="1"/>
    <cellStyle name="Followed Hyperlink" xfId="67" builtinId="9" hidden="1"/>
    <cellStyle name="Followed Hyperlink" xfId="23" builtinId="9" hidden="1"/>
    <cellStyle name="Followed Hyperlink" xfId="19" builtinId="9" hidden="1"/>
    <cellStyle name="Followed Hyperlink" xfId="81" builtinId="9" hidden="1"/>
    <cellStyle name="Followed Hyperlink" xfId="7" builtinId="9" hidden="1"/>
    <cellStyle name="Followed Hyperlink" xfId="52" builtinId="9" hidden="1"/>
    <cellStyle name="Followed Hyperlink" xfId="90" builtinId="9" hidden="1"/>
    <cellStyle name="Followed Hyperlink" xfId="34" builtinId="9" hidden="1"/>
    <cellStyle name="Followed Hyperlink" xfId="18" builtinId="9" hidden="1"/>
    <cellStyle name="Followed Hyperlink" xfId="32" builtinId="9" hidden="1"/>
    <cellStyle name="Followed Hyperlink" xfId="53" builtinId="9" hidden="1"/>
    <cellStyle name="Followed Hyperlink" xfId="78" builtinId="9" hidden="1"/>
    <cellStyle name="Followed Hyperlink" xfId="82" builtinId="9" hidden="1"/>
    <cellStyle name="Followed Hyperlink" xfId="48" builtinId="9" hidden="1"/>
    <cellStyle name="Followed Hyperlink" xfId="83" builtinId="9" hidden="1"/>
    <cellStyle name="Followed Hyperlink" xfId="85" builtinId="9" hidden="1"/>
    <cellStyle name="Followed Hyperlink" xfId="68" builtinId="9" hidden="1"/>
    <cellStyle name="Followed Hyperlink" xfId="4" builtinId="9" hidden="1"/>
    <cellStyle name="Followed Hyperlink" xfId="64" builtinId="9" hidden="1"/>
    <cellStyle name="Followed Hyperlink" xfId="58" builtinId="9" hidden="1"/>
    <cellStyle name="Followed Hyperlink" xfId="5" builtinId="9" hidden="1"/>
    <cellStyle name="Followed Hyperlink" xfId="28" builtinId="9" hidden="1"/>
    <cellStyle name="Followed Hyperlink" xfId="31" builtinId="9" hidden="1"/>
    <cellStyle name="Followed Hyperlink" xfId="35" builtinId="9" hidden="1"/>
    <cellStyle name="Followed Hyperlink" xfId="26" builtinId="9" hidden="1"/>
    <cellStyle name="Hyperlink" xfId="2" builtinId="8"/>
    <cellStyle name="Normal" xfId="0" builtinId="0"/>
    <cellStyle name="Normal_Sheet1" xfId="3" xr:uid="{00000000-0005-0000-0000-000059000000}"/>
    <cellStyle name="Percent" xfId="8" builtinId="5"/>
  </cellStyles>
  <dxfs count="8">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s>
  <tableStyles count="0" defaultTableStyle="TableStyleMedium9" defaultPivotStyle="PivotStyleMedium4"/>
  <colors>
    <mruColors>
      <color rgb="FF00BC55"/>
      <color rgb="FFD9FFEA"/>
      <color rgb="FF88E8C8"/>
      <color rgb="FF81FF99"/>
      <color rgb="FF00F66F"/>
      <color rgb="FFFFEEB7"/>
      <color rgb="FFFFCC00"/>
      <color rgb="FFFFCC66"/>
      <color rgb="FFFFEE71"/>
      <color rgb="FF0076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Better Communities'!A1"/><Relationship Id="rId2" Type="http://schemas.openxmlformats.org/officeDocument/2006/relationships/hyperlink" Target="#'Better Planet'!A1"/><Relationship Id="rId1" Type="http://schemas.openxmlformats.org/officeDocument/2006/relationships/image" Target="../media/image1.png"/><Relationship Id="rId5" Type="http://schemas.openxmlformats.org/officeDocument/2006/relationships/image" Target="../media/image2.png"/><Relationship Id="rId4" Type="http://schemas.openxmlformats.org/officeDocument/2006/relationships/hyperlink" Target="#'Better Business'!A1"/></Relationships>
</file>

<file path=xl/drawings/_rels/drawing3.xml.rels><?xml version="1.0" encoding="UTF-8" standalone="yes"?>
<Relationships xmlns="http://schemas.openxmlformats.org/package/2006/relationships"><Relationship Id="rId1" Type="http://schemas.openxmlformats.org/officeDocument/2006/relationships/image" Target="../media/image4.gif"/></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0</xdr:col>
      <xdr:colOff>142875</xdr:colOff>
      <xdr:row>2</xdr:row>
      <xdr:rowOff>133349</xdr:rowOff>
    </xdr:from>
    <xdr:to>
      <xdr:col>4</xdr:col>
      <xdr:colOff>361951</xdr:colOff>
      <xdr:row>8</xdr:row>
      <xdr:rowOff>133350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142875" y="533399"/>
          <a:ext cx="2962276" cy="1200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3200" b="1">
              <a:solidFill>
                <a:srgbClr val="0076AA"/>
              </a:solidFill>
              <a:latin typeface="Segoe UI" panose="020B0502040204020203" pitchFamily="34" charset="0"/>
              <a:ea typeface="Segoe UI" panose="020B0502040204020203" pitchFamily="34" charset="0"/>
              <a:cs typeface="Segoe UI" panose="020B0502040204020203" pitchFamily="34" charset="0"/>
            </a:rPr>
            <a:t>Sustainability Framework</a:t>
          </a:r>
        </a:p>
      </xdr:txBody>
    </xdr:sp>
    <xdr:clientData/>
  </xdr:twoCellAnchor>
  <xdr:twoCellAnchor editAs="oneCell">
    <xdr:from>
      <xdr:col>0</xdr:col>
      <xdr:colOff>257176</xdr:colOff>
      <xdr:row>0</xdr:row>
      <xdr:rowOff>152402</xdr:rowOff>
    </xdr:from>
    <xdr:to>
      <xdr:col>2</xdr:col>
      <xdr:colOff>152400</xdr:colOff>
      <xdr:row>2</xdr:row>
      <xdr:rowOff>41717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257176" y="152402"/>
          <a:ext cx="1266824" cy="289365"/>
        </a:xfrm>
        <a:prstGeom prst="rect">
          <a:avLst/>
        </a:prstGeom>
      </xdr:spPr>
    </xdr:pic>
    <xdr:clientData/>
  </xdr:twoCellAnchor>
  <xdr:twoCellAnchor>
    <xdr:from>
      <xdr:col>4</xdr:col>
      <xdr:colOff>523875</xdr:colOff>
      <xdr:row>7</xdr:row>
      <xdr:rowOff>180975</xdr:rowOff>
    </xdr:from>
    <xdr:to>
      <xdr:col>10</xdr:col>
      <xdr:colOff>342900</xdr:colOff>
      <xdr:row>26</xdr:row>
      <xdr:rowOff>171451</xdr:rowOff>
    </xdr:to>
    <xdr:sp macro="" textlink="">
      <xdr:nvSpPr>
        <xdr:cNvPr id="5" name="Pie 4">
          <a:hlinkClick xmlns:r="http://schemas.openxmlformats.org/officeDocument/2006/relationships" r:id="rId2"/>
          <a:extLst>
            <a:ext uri="{FF2B5EF4-FFF2-40B4-BE49-F238E27FC236}">
              <a16:creationId xmlns:a16="http://schemas.microsoft.com/office/drawing/2014/main" id="{00000000-0008-0000-0000-000005000000}"/>
            </a:ext>
          </a:extLst>
        </xdr:cNvPr>
        <xdr:cNvSpPr/>
      </xdr:nvSpPr>
      <xdr:spPr>
        <a:xfrm>
          <a:off x="3267075" y="1581150"/>
          <a:ext cx="3933825" cy="3790951"/>
        </a:xfrm>
        <a:prstGeom prst="pie">
          <a:avLst>
            <a:gd name="adj1" fmla="val 12664927"/>
            <a:gd name="adj2" fmla="val 19795921"/>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4</xdr:col>
      <xdr:colOff>514350</xdr:colOff>
      <xdr:row>8</xdr:row>
      <xdr:rowOff>66675</xdr:rowOff>
    </xdr:from>
    <xdr:to>
      <xdr:col>10</xdr:col>
      <xdr:colOff>333375</xdr:colOff>
      <xdr:row>27</xdr:row>
      <xdr:rowOff>57151</xdr:rowOff>
    </xdr:to>
    <xdr:sp macro="" textlink="">
      <xdr:nvSpPr>
        <xdr:cNvPr id="6" name="Pie 5">
          <a:hlinkClick xmlns:r="http://schemas.openxmlformats.org/officeDocument/2006/relationships" r:id="rId3"/>
          <a:extLst>
            <a:ext uri="{FF2B5EF4-FFF2-40B4-BE49-F238E27FC236}">
              <a16:creationId xmlns:a16="http://schemas.microsoft.com/office/drawing/2014/main" id="{00000000-0008-0000-0000-000006000000}"/>
            </a:ext>
          </a:extLst>
        </xdr:cNvPr>
        <xdr:cNvSpPr/>
      </xdr:nvSpPr>
      <xdr:spPr>
        <a:xfrm>
          <a:off x="3257550" y="1666875"/>
          <a:ext cx="3933825" cy="3790951"/>
        </a:xfrm>
        <a:prstGeom prst="pie">
          <a:avLst>
            <a:gd name="adj1" fmla="val 5419207"/>
            <a:gd name="adj2" fmla="val 12672165"/>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GB" sz="1100">
            <a:solidFill>
              <a:srgbClr val="FF0000"/>
            </a:solidFill>
          </a:endParaRPr>
        </a:p>
      </xdr:txBody>
    </xdr:sp>
    <xdr:clientData/>
  </xdr:twoCellAnchor>
  <xdr:twoCellAnchor>
    <xdr:from>
      <xdr:col>4</xdr:col>
      <xdr:colOff>600075</xdr:colOff>
      <xdr:row>8</xdr:row>
      <xdr:rowOff>47625</xdr:rowOff>
    </xdr:from>
    <xdr:to>
      <xdr:col>10</xdr:col>
      <xdr:colOff>419100</xdr:colOff>
      <xdr:row>27</xdr:row>
      <xdr:rowOff>38101</xdr:rowOff>
    </xdr:to>
    <xdr:sp macro="" textlink="">
      <xdr:nvSpPr>
        <xdr:cNvPr id="7" name="Pie 6">
          <a:hlinkClick xmlns:r="http://schemas.openxmlformats.org/officeDocument/2006/relationships" r:id="rId4"/>
          <a:extLst>
            <a:ext uri="{FF2B5EF4-FFF2-40B4-BE49-F238E27FC236}">
              <a16:creationId xmlns:a16="http://schemas.microsoft.com/office/drawing/2014/main" id="{00000000-0008-0000-0000-000007000000}"/>
            </a:ext>
          </a:extLst>
        </xdr:cNvPr>
        <xdr:cNvSpPr/>
      </xdr:nvSpPr>
      <xdr:spPr>
        <a:xfrm>
          <a:off x="3343275" y="1647825"/>
          <a:ext cx="3933825" cy="3790951"/>
        </a:xfrm>
        <a:prstGeom prst="pie">
          <a:avLst>
            <a:gd name="adj1" fmla="val 19842265"/>
            <a:gd name="adj2" fmla="val 5414272"/>
          </a:avLst>
        </a:prstGeom>
        <a:noFill/>
        <a:ln>
          <a:no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GB" sz="1100">
            <a:solidFill>
              <a:srgbClr val="FF0000"/>
            </a:solidFill>
          </a:endParaRPr>
        </a:p>
      </xdr:txBody>
    </xdr:sp>
    <xdr:clientData/>
  </xdr:twoCellAnchor>
  <xdr:twoCellAnchor>
    <xdr:from>
      <xdr:col>10</xdr:col>
      <xdr:colOff>581025</xdr:colOff>
      <xdr:row>2</xdr:row>
      <xdr:rowOff>142874</xdr:rowOff>
    </xdr:from>
    <xdr:to>
      <xdr:col>14</xdr:col>
      <xdr:colOff>533400</xdr:colOff>
      <xdr:row>7</xdr:row>
      <xdr:rowOff>28575</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7439025" y="542924"/>
          <a:ext cx="2695575" cy="12954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GB" sz="3200" b="1">
              <a:solidFill>
                <a:srgbClr val="0076AA"/>
              </a:solidFill>
              <a:latin typeface="Segoe UI" panose="020B0502040204020203" pitchFamily="34" charset="0"/>
              <a:ea typeface="Segoe UI" panose="020B0502040204020203" pitchFamily="34" charset="0"/>
              <a:cs typeface="Segoe UI" panose="020B0502040204020203" pitchFamily="34" charset="0"/>
            </a:rPr>
            <a:t>Five</a:t>
          </a:r>
          <a:r>
            <a:rPr lang="en-GB" sz="3200" b="1" baseline="0">
              <a:solidFill>
                <a:srgbClr val="0076AA"/>
              </a:solidFill>
              <a:latin typeface="Segoe UI" panose="020B0502040204020203" pitchFamily="34" charset="0"/>
              <a:ea typeface="Segoe UI" panose="020B0502040204020203" pitchFamily="34" charset="0"/>
              <a:cs typeface="Segoe UI" panose="020B0502040204020203" pitchFamily="34" charset="0"/>
            </a:rPr>
            <a:t> Year Report</a:t>
          </a:r>
          <a:endParaRPr lang="en-GB" sz="3200" b="1">
            <a:solidFill>
              <a:srgbClr val="0076AA"/>
            </a:solidFill>
            <a:latin typeface="Segoe UI" panose="020B0502040204020203" pitchFamily="34" charset="0"/>
            <a:ea typeface="Segoe UI" panose="020B0502040204020203" pitchFamily="34" charset="0"/>
            <a:cs typeface="Segoe UI" panose="020B0502040204020203" pitchFamily="34" charset="0"/>
          </a:endParaRPr>
        </a:p>
      </xdr:txBody>
    </xdr:sp>
    <xdr:clientData/>
  </xdr:twoCellAnchor>
  <xdr:twoCellAnchor editAs="oneCell">
    <xdr:from>
      <xdr:col>1</xdr:col>
      <xdr:colOff>292496</xdr:colOff>
      <xdr:row>7</xdr:row>
      <xdr:rowOff>85725</xdr:rowOff>
    </xdr:from>
    <xdr:to>
      <xdr:col>15</xdr:col>
      <xdr:colOff>224856</xdr:colOff>
      <xdr:row>36</xdr:row>
      <xdr:rowOff>191926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a:stretch>
          <a:fillRect/>
        </a:stretch>
      </xdr:blipFill>
      <xdr:spPr>
        <a:xfrm>
          <a:off x="978296" y="1895475"/>
          <a:ext cx="9533560" cy="59069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180975</xdr:colOff>
          <xdr:row>0</xdr:row>
          <xdr:rowOff>57150</xdr:rowOff>
        </xdr:from>
        <xdr:to>
          <xdr:col>8</xdr:col>
          <xdr:colOff>57150</xdr:colOff>
          <xdr:row>0</xdr:row>
          <xdr:rowOff>714375</xdr:rowOff>
        </xdr:to>
        <xdr:sp macro="" textlink="">
          <xdr:nvSpPr>
            <xdr:cNvPr id="7169" name="Object 1" hidden="1">
              <a:extLst>
                <a:ext uri="{63B3BB69-23CF-44E3-9099-C40C66FF867C}">
                  <a14:compatExt spid="_x0000_s7169"/>
                </a:ext>
                <a:ext uri="{FF2B5EF4-FFF2-40B4-BE49-F238E27FC236}">
                  <a16:creationId xmlns:a16="http://schemas.microsoft.com/office/drawing/2014/main" id="{00000000-0008-0000-0100-0000011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10</xdr:col>
      <xdr:colOff>472440</xdr:colOff>
      <xdr:row>0</xdr:row>
      <xdr:rowOff>83820</xdr:rowOff>
    </xdr:from>
    <xdr:to>
      <xdr:col>12</xdr:col>
      <xdr:colOff>336168</xdr:colOff>
      <xdr:row>1</xdr:row>
      <xdr:rowOff>320040</xdr:rowOff>
    </xdr:to>
    <xdr:pic>
      <xdr:nvPicPr>
        <xdr:cNvPr id="2" name="Picture 1" descr="clip_image002">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88880" y="83820"/>
          <a:ext cx="1540128" cy="43434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209550</xdr:colOff>
          <xdr:row>0</xdr:row>
          <xdr:rowOff>152400</xdr:rowOff>
        </xdr:from>
        <xdr:to>
          <xdr:col>9</xdr:col>
          <xdr:colOff>76200</xdr:colOff>
          <xdr:row>0</xdr:row>
          <xdr:rowOff>1076325</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300-000001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9525</xdr:colOff>
          <xdr:row>0</xdr:row>
          <xdr:rowOff>76200</xdr:rowOff>
        </xdr:from>
        <xdr:to>
          <xdr:col>9</xdr:col>
          <xdr:colOff>409575</xdr:colOff>
          <xdr:row>1</xdr:row>
          <xdr:rowOff>1123950</xdr:rowOff>
        </xdr:to>
        <xdr:sp macro="" textlink="">
          <xdr:nvSpPr>
            <xdr:cNvPr id="4097" name="Object 1" hidden="1">
              <a:extLst>
                <a:ext uri="{63B3BB69-23CF-44E3-9099-C40C66FF867C}">
                  <a14:compatExt spid="_x0000_s4097"/>
                </a:ext>
                <a:ext uri="{FF2B5EF4-FFF2-40B4-BE49-F238E27FC236}">
                  <a16:creationId xmlns:a16="http://schemas.microsoft.com/office/drawing/2014/main" id="{00000000-0008-0000-0400-0000011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3.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5.emf"/><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openxmlformats.org/officeDocument/2006/relationships/image" Target="../media/image6.emf"/><Relationship Id="rId4" Type="http://schemas.openxmlformats.org/officeDocument/2006/relationships/oleObject" Target="../embeddings/oleObject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sheetPr>
  <dimension ref="A1:V42"/>
  <sheetViews>
    <sheetView showGridLines="0" tabSelected="1" workbookViewId="0">
      <selection activeCell="U12" sqref="U12"/>
    </sheetView>
  </sheetViews>
  <sheetFormatPr defaultColWidth="9" defaultRowHeight="15.75"/>
  <sheetData>
    <row r="1" spans="1:22">
      <c r="A1" s="4"/>
      <c r="B1" s="4"/>
      <c r="C1" s="4"/>
      <c r="D1" s="4"/>
      <c r="E1" s="4"/>
      <c r="F1" s="4"/>
      <c r="G1" s="4"/>
      <c r="H1" s="4"/>
      <c r="I1" s="4"/>
      <c r="J1" s="4"/>
      <c r="K1" s="4"/>
      <c r="L1" s="4"/>
      <c r="M1" s="4"/>
      <c r="N1" s="4"/>
      <c r="O1" s="4"/>
      <c r="P1" s="48"/>
      <c r="Q1" s="48"/>
      <c r="R1" s="48"/>
      <c r="S1" s="48"/>
      <c r="T1" s="48"/>
      <c r="U1" s="48"/>
      <c r="V1" s="48"/>
    </row>
    <row r="2" spans="1:22">
      <c r="A2" s="4"/>
      <c r="B2" s="4"/>
      <c r="C2" s="4"/>
      <c r="D2" s="4"/>
      <c r="E2" s="4"/>
      <c r="F2" s="4"/>
      <c r="G2" s="4"/>
      <c r="H2" s="4"/>
      <c r="I2" s="4"/>
      <c r="J2" s="4"/>
      <c r="K2" s="4"/>
      <c r="L2" s="4"/>
      <c r="M2" s="4"/>
      <c r="N2" s="4"/>
      <c r="O2" s="4"/>
      <c r="P2" s="48"/>
      <c r="Q2" s="48"/>
      <c r="R2" s="48"/>
      <c r="S2" s="48"/>
      <c r="T2" s="48"/>
      <c r="U2" s="48"/>
      <c r="V2" s="48"/>
    </row>
    <row r="3" spans="1:22">
      <c r="A3" s="4"/>
      <c r="B3" s="4"/>
      <c r="C3" s="4"/>
      <c r="D3" s="4"/>
      <c r="E3" s="4"/>
      <c r="F3" s="4"/>
      <c r="G3" s="4"/>
      <c r="H3" s="4"/>
      <c r="I3" s="4"/>
      <c r="J3" s="4"/>
      <c r="K3" s="4"/>
      <c r="L3" s="4"/>
      <c r="M3" s="4"/>
      <c r="N3" s="4"/>
      <c r="O3" s="4"/>
      <c r="P3" s="48"/>
      <c r="Q3" s="48"/>
      <c r="R3" s="48"/>
      <c r="S3" s="48"/>
      <c r="T3" s="48"/>
      <c r="U3" s="48"/>
      <c r="V3" s="48"/>
    </row>
    <row r="4" spans="1:22" ht="48">
      <c r="A4" s="4"/>
      <c r="B4" s="4"/>
      <c r="C4" s="4"/>
      <c r="D4" s="4"/>
      <c r="E4" s="4"/>
      <c r="F4" s="4"/>
      <c r="G4" s="4"/>
      <c r="H4" s="4"/>
      <c r="I4" s="4"/>
      <c r="J4" s="4"/>
      <c r="K4" s="4"/>
      <c r="L4" s="8"/>
      <c r="M4" s="4"/>
      <c r="N4" s="4"/>
      <c r="O4" s="4"/>
      <c r="P4" s="48"/>
      <c r="Q4" s="48"/>
      <c r="R4" s="48"/>
      <c r="S4" s="48"/>
      <c r="T4" s="48"/>
      <c r="U4" s="48"/>
      <c r="V4" s="48"/>
    </row>
    <row r="5" spans="1:22">
      <c r="A5" s="4"/>
      <c r="B5" s="4"/>
      <c r="C5" s="4"/>
      <c r="D5" s="4"/>
      <c r="E5" s="4"/>
      <c r="F5" s="4"/>
      <c r="G5" s="4"/>
      <c r="H5" s="4"/>
      <c r="I5" s="4"/>
      <c r="J5" s="4"/>
      <c r="K5" s="4"/>
      <c r="L5" s="4"/>
      <c r="M5" s="4"/>
      <c r="N5" s="4"/>
      <c r="O5" s="4"/>
      <c r="P5" s="48"/>
      <c r="Q5" s="48"/>
      <c r="R5" s="48"/>
      <c r="S5" s="48"/>
      <c r="T5" s="48"/>
      <c r="U5" s="48"/>
      <c r="V5" s="48"/>
    </row>
    <row r="6" spans="1:22">
      <c r="A6" s="4"/>
      <c r="B6" s="4"/>
      <c r="C6" s="4"/>
      <c r="D6" s="4"/>
      <c r="E6" s="4"/>
      <c r="F6" s="4"/>
      <c r="G6" s="4"/>
      <c r="H6" s="4"/>
      <c r="I6" s="4"/>
      <c r="J6" s="4"/>
      <c r="K6" s="4"/>
      <c r="L6" s="4"/>
      <c r="M6" s="4"/>
      <c r="N6" s="4"/>
      <c r="O6" s="4"/>
      <c r="P6" s="48"/>
      <c r="Q6" s="48"/>
      <c r="R6" s="48"/>
      <c r="S6" s="48"/>
      <c r="T6" s="48"/>
      <c r="U6" s="48"/>
      <c r="V6" s="48"/>
    </row>
    <row r="7" spans="1:22">
      <c r="A7" s="4"/>
      <c r="B7" s="4"/>
      <c r="C7" s="4"/>
      <c r="D7" s="4"/>
      <c r="E7" s="4"/>
      <c r="F7" s="4"/>
      <c r="G7" s="4"/>
      <c r="H7" s="4"/>
      <c r="I7" s="4"/>
      <c r="J7" s="4"/>
      <c r="K7" s="4"/>
      <c r="L7" s="4"/>
      <c r="M7" s="4"/>
      <c r="N7" s="4"/>
      <c r="O7" s="4"/>
      <c r="P7" s="48"/>
      <c r="Q7" s="48"/>
      <c r="R7" s="48"/>
      <c r="S7" s="48"/>
      <c r="T7" s="48"/>
      <c r="U7" s="48"/>
      <c r="V7" s="48"/>
    </row>
    <row r="8" spans="1:22">
      <c r="A8" s="4"/>
      <c r="B8" s="4"/>
      <c r="C8" s="4"/>
      <c r="D8" s="4"/>
      <c r="E8" s="4"/>
      <c r="F8" s="4"/>
      <c r="G8" s="4"/>
      <c r="H8" s="4"/>
      <c r="I8" s="4"/>
      <c r="J8" s="4"/>
      <c r="K8" s="4"/>
      <c r="L8" s="4"/>
      <c r="M8" s="4"/>
      <c r="N8" s="4"/>
      <c r="O8" s="4"/>
      <c r="P8" s="48"/>
      <c r="Q8" s="48"/>
      <c r="R8" s="48"/>
      <c r="S8" s="48"/>
      <c r="T8" s="48"/>
      <c r="U8" s="48"/>
      <c r="V8" s="48"/>
    </row>
    <row r="9" spans="1:22">
      <c r="A9" s="4"/>
      <c r="B9" s="4"/>
      <c r="C9" s="4"/>
      <c r="D9" s="4"/>
      <c r="E9" s="4"/>
      <c r="F9" s="4"/>
      <c r="G9" s="4"/>
      <c r="H9" s="4"/>
      <c r="I9" s="4"/>
      <c r="J9" s="4"/>
      <c r="K9" s="4"/>
      <c r="L9" s="4"/>
      <c r="M9" s="4"/>
      <c r="N9" s="4"/>
      <c r="O9" s="4"/>
      <c r="P9" s="48"/>
      <c r="Q9" s="48"/>
      <c r="R9" s="48"/>
      <c r="S9" s="48"/>
      <c r="T9" s="48"/>
      <c r="U9" s="48"/>
      <c r="V9" s="48"/>
    </row>
    <row r="10" spans="1:22">
      <c r="A10" s="4"/>
      <c r="B10" s="4"/>
      <c r="C10" s="4"/>
      <c r="D10" s="4"/>
      <c r="E10" s="4"/>
      <c r="F10" s="4"/>
      <c r="G10" s="4"/>
      <c r="H10" s="4"/>
      <c r="I10" s="4"/>
      <c r="J10" s="4"/>
      <c r="K10" s="4"/>
      <c r="L10" s="4"/>
      <c r="M10" s="4"/>
      <c r="N10" s="4"/>
      <c r="O10" s="4"/>
      <c r="P10" s="48"/>
      <c r="Q10" s="48"/>
      <c r="R10" s="48"/>
      <c r="S10" s="48"/>
      <c r="T10" s="48"/>
      <c r="U10" s="48"/>
      <c r="V10" s="48"/>
    </row>
    <row r="11" spans="1:22">
      <c r="A11" s="4"/>
      <c r="B11" s="4"/>
      <c r="C11" s="4"/>
      <c r="D11" s="4"/>
      <c r="E11" s="4"/>
      <c r="F11" s="4"/>
      <c r="G11" s="4"/>
      <c r="H11" s="4"/>
      <c r="I11" s="4"/>
      <c r="J11" s="4"/>
      <c r="K11" s="4"/>
      <c r="L11" s="4"/>
      <c r="M11" s="4"/>
      <c r="N11" s="4"/>
      <c r="O11" s="4"/>
      <c r="P11" s="48"/>
      <c r="Q11" s="48"/>
      <c r="R11" s="48"/>
      <c r="S11" s="48"/>
      <c r="T11" s="48"/>
      <c r="U11" s="48"/>
      <c r="V11" s="48"/>
    </row>
    <row r="12" spans="1:22">
      <c r="A12" s="4"/>
      <c r="B12" s="4"/>
      <c r="C12" s="4"/>
      <c r="D12" s="4"/>
      <c r="E12" s="4"/>
      <c r="F12" s="4"/>
      <c r="G12" s="4"/>
      <c r="H12" s="4"/>
      <c r="I12" s="4"/>
      <c r="J12" s="4"/>
      <c r="K12" s="4"/>
      <c r="L12" s="4"/>
      <c r="M12" s="4"/>
      <c r="N12" s="4"/>
      <c r="O12" s="4"/>
      <c r="P12" s="48"/>
      <c r="Q12" s="48"/>
      <c r="R12" s="48"/>
      <c r="S12" s="48"/>
      <c r="T12" s="48"/>
      <c r="U12" s="48"/>
      <c r="V12" s="48"/>
    </row>
    <row r="13" spans="1:22">
      <c r="A13" s="4"/>
      <c r="B13" s="4"/>
      <c r="C13" s="4"/>
      <c r="D13" s="4"/>
      <c r="E13" s="4"/>
      <c r="F13" s="4"/>
      <c r="G13" s="4"/>
      <c r="H13" s="4"/>
      <c r="I13" s="4"/>
      <c r="J13" s="4"/>
      <c r="K13" s="4"/>
      <c r="L13" s="4"/>
      <c r="M13" s="4"/>
      <c r="N13" s="4"/>
      <c r="O13" s="4"/>
      <c r="P13" s="48"/>
      <c r="Q13" s="48"/>
      <c r="R13" s="48"/>
      <c r="S13" s="48"/>
      <c r="T13" s="48"/>
      <c r="U13" s="48"/>
      <c r="V13" s="48"/>
    </row>
    <row r="14" spans="1:22">
      <c r="A14" s="4"/>
      <c r="B14" s="4"/>
      <c r="C14" s="4"/>
      <c r="D14" s="4"/>
      <c r="E14" s="4"/>
      <c r="F14" s="4"/>
      <c r="G14" s="4"/>
      <c r="H14" s="4"/>
      <c r="I14" s="4"/>
      <c r="J14" s="4"/>
      <c r="K14" s="4"/>
      <c r="L14" s="4"/>
      <c r="M14" s="4"/>
      <c r="N14" s="4"/>
      <c r="O14" s="4"/>
      <c r="P14" s="48"/>
      <c r="Q14" s="48"/>
      <c r="R14" s="48"/>
      <c r="S14" s="48"/>
      <c r="T14" s="48"/>
      <c r="U14" s="48"/>
      <c r="V14" s="48"/>
    </row>
    <row r="15" spans="1:22">
      <c r="A15" s="4"/>
      <c r="B15" s="4"/>
      <c r="C15" s="4"/>
      <c r="D15" s="4"/>
      <c r="E15" s="4"/>
      <c r="F15" s="4"/>
      <c r="G15" s="4"/>
      <c r="H15" s="4"/>
      <c r="I15" s="4"/>
      <c r="J15" s="4"/>
      <c r="K15" s="4"/>
      <c r="L15" s="4"/>
      <c r="M15" s="4"/>
      <c r="N15" s="4"/>
      <c r="O15" s="4"/>
      <c r="P15" s="48"/>
      <c r="Q15" s="48"/>
      <c r="R15" s="48"/>
      <c r="S15" s="48"/>
      <c r="T15" s="48"/>
      <c r="U15" s="48"/>
      <c r="V15" s="48"/>
    </row>
    <row r="16" spans="1:22">
      <c r="A16" s="4"/>
      <c r="B16" s="4"/>
      <c r="C16" s="4"/>
      <c r="D16" s="4"/>
      <c r="E16" s="4"/>
      <c r="F16" s="4"/>
      <c r="G16" s="4"/>
      <c r="H16" s="4"/>
      <c r="I16" s="4"/>
      <c r="J16" s="4"/>
      <c r="K16" s="4"/>
      <c r="L16" s="4"/>
      <c r="M16" s="4"/>
      <c r="N16" s="4"/>
      <c r="O16" s="4"/>
      <c r="P16" s="48"/>
      <c r="Q16" s="48"/>
      <c r="R16" s="48"/>
      <c r="S16" s="48"/>
      <c r="T16" s="48"/>
      <c r="U16" s="48"/>
      <c r="V16" s="48"/>
    </row>
    <row r="17" spans="1:22">
      <c r="A17" s="4"/>
      <c r="B17" s="4"/>
      <c r="C17" s="4"/>
      <c r="D17" s="4"/>
      <c r="E17" s="4"/>
      <c r="F17" s="4"/>
      <c r="G17" s="4"/>
      <c r="H17" s="4"/>
      <c r="I17" s="4"/>
      <c r="J17" s="4"/>
      <c r="K17" s="4"/>
      <c r="L17" s="4"/>
      <c r="M17" s="4"/>
      <c r="N17" s="4"/>
      <c r="O17" s="4"/>
      <c r="P17" s="48"/>
      <c r="Q17" s="48"/>
      <c r="R17" s="48"/>
      <c r="S17" s="48"/>
      <c r="T17" s="48"/>
      <c r="U17" s="48"/>
      <c r="V17" s="48"/>
    </row>
    <row r="18" spans="1:22">
      <c r="A18" s="4"/>
      <c r="B18" s="4"/>
      <c r="C18" s="4"/>
      <c r="D18" s="4"/>
      <c r="E18" s="4"/>
      <c r="F18" s="4"/>
      <c r="G18" s="4"/>
      <c r="H18" s="4"/>
      <c r="I18" s="4"/>
      <c r="J18" s="4"/>
      <c r="K18" s="4"/>
      <c r="L18" s="4"/>
      <c r="M18" s="4"/>
      <c r="N18" s="4"/>
      <c r="O18" s="4"/>
      <c r="P18" s="48"/>
      <c r="Q18" s="48"/>
      <c r="R18" s="48"/>
      <c r="S18" s="48"/>
      <c r="T18" s="48"/>
      <c r="U18" s="48"/>
      <c r="V18" s="48"/>
    </row>
    <row r="19" spans="1:22">
      <c r="A19" s="4"/>
      <c r="B19" s="4"/>
      <c r="C19" s="4"/>
      <c r="D19" s="4"/>
      <c r="E19" s="4"/>
      <c r="F19" s="4"/>
      <c r="G19" s="4"/>
      <c r="H19" s="4"/>
      <c r="I19" s="4"/>
      <c r="J19" s="4"/>
      <c r="K19" s="4"/>
      <c r="L19" s="4"/>
      <c r="M19" s="4"/>
      <c r="N19" s="4"/>
      <c r="O19" s="4"/>
      <c r="P19" s="48"/>
      <c r="Q19" s="48"/>
      <c r="R19" s="48"/>
      <c r="S19" s="48"/>
      <c r="T19" s="48"/>
      <c r="U19" s="48"/>
      <c r="V19" s="48"/>
    </row>
    <row r="20" spans="1:22">
      <c r="A20" s="4"/>
      <c r="B20" s="4"/>
      <c r="C20" s="4"/>
      <c r="D20" s="4"/>
      <c r="E20" s="4"/>
      <c r="F20" s="4"/>
      <c r="G20" s="4"/>
      <c r="H20" s="4"/>
      <c r="I20" s="4"/>
      <c r="J20" s="4"/>
      <c r="K20" s="4"/>
      <c r="L20" s="4"/>
      <c r="M20" s="4"/>
      <c r="N20" s="4"/>
      <c r="O20" s="4"/>
      <c r="P20" s="48"/>
      <c r="Q20" s="48"/>
      <c r="R20" s="48"/>
      <c r="S20" s="48"/>
      <c r="T20" s="48"/>
      <c r="U20" s="48"/>
      <c r="V20" s="48"/>
    </row>
    <row r="21" spans="1:22">
      <c r="A21" s="4"/>
      <c r="B21" s="4"/>
      <c r="C21" s="4"/>
      <c r="D21" s="4"/>
      <c r="E21" s="4"/>
      <c r="F21" s="4"/>
      <c r="G21" s="4"/>
      <c r="H21" s="4"/>
      <c r="I21" s="4"/>
      <c r="J21" s="4"/>
      <c r="K21" s="4"/>
      <c r="L21" s="4"/>
      <c r="M21" s="4"/>
      <c r="N21" s="4"/>
      <c r="O21" s="4"/>
      <c r="P21" s="48"/>
      <c r="Q21" s="48"/>
      <c r="R21" s="48"/>
      <c r="S21" s="48"/>
      <c r="T21" s="48"/>
      <c r="U21" s="48"/>
      <c r="V21" s="48"/>
    </row>
    <row r="22" spans="1:22">
      <c r="A22" s="4"/>
      <c r="B22" s="4"/>
      <c r="C22" s="4"/>
      <c r="D22" s="4"/>
      <c r="E22" s="4"/>
      <c r="F22" s="4"/>
      <c r="G22" s="4"/>
      <c r="H22" s="4"/>
      <c r="I22" s="4"/>
      <c r="J22" s="4"/>
      <c r="K22" s="4"/>
      <c r="L22" s="4"/>
      <c r="M22" s="4"/>
      <c r="N22" s="4"/>
      <c r="O22" s="4"/>
      <c r="P22" s="48"/>
      <c r="Q22" s="48"/>
      <c r="R22" s="48"/>
      <c r="S22" s="48"/>
      <c r="T22" s="48"/>
      <c r="U22" s="48"/>
      <c r="V22" s="48"/>
    </row>
    <row r="23" spans="1:22">
      <c r="A23" s="4"/>
      <c r="B23" s="4"/>
      <c r="C23" s="4"/>
      <c r="D23" s="4"/>
      <c r="E23" s="4"/>
      <c r="F23" s="4"/>
      <c r="G23" s="4"/>
      <c r="H23" s="4"/>
      <c r="I23" s="4"/>
      <c r="J23" s="4"/>
      <c r="K23" s="4"/>
      <c r="L23" s="4"/>
      <c r="M23" s="4"/>
      <c r="N23" s="4"/>
      <c r="O23" s="4"/>
      <c r="P23" s="48"/>
      <c r="Q23" s="48"/>
      <c r="R23" s="48"/>
      <c r="S23" s="48"/>
      <c r="T23" s="48"/>
      <c r="U23" s="48"/>
      <c r="V23" s="48"/>
    </row>
    <row r="24" spans="1:22">
      <c r="A24" s="4"/>
      <c r="B24" s="4"/>
      <c r="C24" s="4"/>
      <c r="D24" s="4"/>
      <c r="E24" s="4"/>
      <c r="F24" s="4"/>
      <c r="G24" s="4"/>
      <c r="H24" s="4"/>
      <c r="I24" s="4"/>
      <c r="J24" s="4"/>
      <c r="K24" s="4"/>
      <c r="L24" s="4"/>
      <c r="M24" s="4"/>
      <c r="N24" s="4"/>
      <c r="O24" s="4"/>
      <c r="P24" s="48"/>
      <c r="Q24" s="48"/>
      <c r="R24" s="48"/>
      <c r="S24" s="48"/>
      <c r="T24" s="48"/>
      <c r="U24" s="48"/>
      <c r="V24" s="48"/>
    </row>
    <row r="25" spans="1:22">
      <c r="A25" s="4"/>
      <c r="B25" s="4"/>
      <c r="C25" s="4"/>
      <c r="D25" s="4"/>
      <c r="E25" s="4"/>
      <c r="F25" s="4"/>
      <c r="G25" s="4"/>
      <c r="H25" s="4"/>
      <c r="I25" s="4"/>
      <c r="J25" s="4"/>
      <c r="K25" s="4"/>
      <c r="L25" s="4"/>
      <c r="M25" s="4"/>
      <c r="N25" s="4"/>
      <c r="O25" s="4"/>
      <c r="P25" s="48"/>
      <c r="Q25" s="48"/>
      <c r="R25" s="48"/>
      <c r="S25" s="48"/>
      <c r="T25" s="48"/>
      <c r="U25" s="48"/>
      <c r="V25" s="48"/>
    </row>
    <row r="26" spans="1:22">
      <c r="A26" s="4"/>
      <c r="B26" s="4"/>
      <c r="C26" s="4"/>
      <c r="D26" s="4"/>
      <c r="E26" s="4"/>
      <c r="F26" s="4"/>
      <c r="G26" s="4"/>
      <c r="H26" s="4"/>
      <c r="I26" s="4"/>
      <c r="J26" s="4"/>
      <c r="K26" s="4"/>
      <c r="L26" s="4"/>
      <c r="M26" s="4"/>
      <c r="N26" s="4"/>
      <c r="O26" s="4"/>
      <c r="P26" s="48"/>
      <c r="Q26" s="48"/>
      <c r="R26" s="48"/>
      <c r="S26" s="48"/>
      <c r="T26" s="48"/>
      <c r="U26" s="48"/>
      <c r="V26" s="48"/>
    </row>
    <row r="27" spans="1:22">
      <c r="A27" s="4"/>
      <c r="B27" s="4"/>
      <c r="C27" s="4"/>
      <c r="D27" s="4"/>
      <c r="E27" s="4"/>
      <c r="F27" s="4"/>
      <c r="G27" s="4"/>
      <c r="H27" s="4"/>
      <c r="I27" s="4"/>
      <c r="J27" s="4"/>
      <c r="K27" s="4"/>
      <c r="L27" s="4"/>
      <c r="M27" s="4"/>
      <c r="N27" s="4"/>
      <c r="O27" s="4"/>
      <c r="P27" s="48"/>
      <c r="Q27" s="48"/>
      <c r="R27" s="48"/>
      <c r="S27" s="48"/>
      <c r="T27" s="48"/>
      <c r="U27" s="48"/>
      <c r="V27" s="48"/>
    </row>
    <row r="28" spans="1:22">
      <c r="A28" s="4"/>
      <c r="B28" s="4"/>
      <c r="C28" s="4"/>
      <c r="D28" s="4"/>
      <c r="E28" s="4"/>
      <c r="F28" s="4"/>
      <c r="G28" s="4"/>
      <c r="H28" s="4"/>
      <c r="I28" s="4"/>
      <c r="J28" s="4"/>
      <c r="K28" s="4"/>
      <c r="L28" s="4"/>
      <c r="M28" s="4"/>
      <c r="N28" s="4"/>
      <c r="O28" s="4"/>
      <c r="P28" s="48"/>
      <c r="Q28" s="48"/>
      <c r="R28" s="48"/>
      <c r="S28" s="48"/>
      <c r="T28" s="48"/>
      <c r="U28" s="48"/>
      <c r="V28" s="48"/>
    </row>
    <row r="29" spans="1:22">
      <c r="A29" s="4"/>
      <c r="B29" s="4"/>
      <c r="C29" s="4"/>
      <c r="D29" s="4"/>
      <c r="E29" s="4"/>
      <c r="F29" s="4"/>
      <c r="G29" s="4"/>
      <c r="H29" s="4"/>
      <c r="I29" s="4"/>
      <c r="J29" s="4"/>
      <c r="K29" s="4"/>
      <c r="L29" s="4"/>
      <c r="M29" s="4"/>
      <c r="N29" s="4"/>
      <c r="O29" s="4"/>
      <c r="P29" s="48"/>
      <c r="Q29" s="48"/>
      <c r="R29" s="48"/>
      <c r="S29" s="48"/>
      <c r="T29" s="48"/>
      <c r="U29" s="48"/>
      <c r="V29" s="48"/>
    </row>
    <row r="30" spans="1:22">
      <c r="A30" s="4"/>
      <c r="B30" s="4"/>
      <c r="C30" s="4"/>
      <c r="D30" s="4"/>
      <c r="E30" s="4"/>
      <c r="F30" s="4"/>
      <c r="G30" s="4"/>
      <c r="H30" s="4"/>
      <c r="I30" s="4"/>
      <c r="J30" s="4"/>
      <c r="K30" s="4"/>
      <c r="L30" s="4"/>
      <c r="M30" s="4"/>
      <c r="N30" s="4"/>
      <c r="O30" s="4"/>
      <c r="P30" s="48"/>
      <c r="Q30" s="48"/>
      <c r="R30" s="48"/>
      <c r="S30" s="48"/>
      <c r="T30" s="48"/>
      <c r="U30" s="48"/>
      <c r="V30" s="48"/>
    </row>
    <row r="31" spans="1:22">
      <c r="A31" s="4"/>
      <c r="B31" s="4"/>
      <c r="C31" s="4"/>
      <c r="D31" s="4"/>
      <c r="E31" s="4"/>
      <c r="F31" s="4"/>
      <c r="G31" s="4"/>
      <c r="H31" s="4"/>
      <c r="I31" s="4"/>
      <c r="J31" s="4"/>
      <c r="K31" s="4"/>
      <c r="L31" s="4"/>
      <c r="M31" s="4"/>
      <c r="N31" s="4"/>
      <c r="O31" s="4"/>
      <c r="P31" s="48"/>
      <c r="Q31" s="48"/>
      <c r="R31" s="48"/>
      <c r="S31" s="48"/>
      <c r="T31" s="48"/>
      <c r="U31" s="48"/>
      <c r="V31" s="48"/>
    </row>
    <row r="32" spans="1:22">
      <c r="A32" s="4"/>
      <c r="B32" s="4"/>
      <c r="C32" s="4"/>
      <c r="D32" s="4"/>
      <c r="E32" s="4"/>
      <c r="F32" s="4"/>
      <c r="G32" s="4"/>
      <c r="H32" s="4"/>
      <c r="I32" s="4"/>
      <c r="J32" s="4"/>
      <c r="K32" s="4"/>
      <c r="L32" s="4"/>
      <c r="M32" s="4"/>
      <c r="N32" s="4"/>
      <c r="O32" s="4"/>
      <c r="P32" s="48"/>
      <c r="Q32" s="48"/>
      <c r="R32" s="48"/>
      <c r="S32" s="48"/>
      <c r="T32" s="48"/>
      <c r="U32" s="48"/>
      <c r="V32" s="48"/>
    </row>
    <row r="33" spans="1:22">
      <c r="A33" s="4"/>
      <c r="B33" s="4"/>
      <c r="C33" s="4"/>
      <c r="D33" s="4"/>
      <c r="E33" s="4"/>
      <c r="F33" s="4"/>
      <c r="G33" s="4"/>
      <c r="H33" s="4"/>
      <c r="I33" s="4"/>
      <c r="J33" s="4"/>
      <c r="K33" s="4"/>
      <c r="L33" s="4"/>
      <c r="M33" s="4"/>
      <c r="N33" s="4"/>
      <c r="O33" s="4"/>
      <c r="P33" s="48"/>
      <c r="Q33" s="48"/>
      <c r="R33" s="48"/>
      <c r="S33" s="48"/>
      <c r="T33" s="48"/>
      <c r="U33" s="48"/>
      <c r="V33" s="48"/>
    </row>
    <row r="34" spans="1:22">
      <c r="A34" s="4"/>
      <c r="B34" s="4"/>
      <c r="C34" s="4"/>
      <c r="D34" s="4"/>
      <c r="E34" s="4"/>
      <c r="F34" s="4"/>
      <c r="G34" s="4"/>
      <c r="H34" s="4"/>
      <c r="I34" s="4"/>
      <c r="J34" s="4"/>
      <c r="K34" s="4"/>
      <c r="L34" s="4"/>
      <c r="M34" s="4"/>
      <c r="N34" s="4"/>
      <c r="O34" s="4"/>
      <c r="P34" s="48"/>
      <c r="Q34" s="48"/>
      <c r="R34" s="48"/>
      <c r="S34" s="48"/>
      <c r="T34" s="48"/>
      <c r="U34" s="48"/>
      <c r="V34" s="48"/>
    </row>
    <row r="35" spans="1:22">
      <c r="A35" s="4"/>
      <c r="B35" s="4"/>
      <c r="C35" s="4"/>
      <c r="D35" s="4"/>
      <c r="E35" s="4"/>
      <c r="F35" s="4"/>
      <c r="G35" s="4"/>
      <c r="H35" s="4"/>
      <c r="I35" s="4"/>
      <c r="J35" s="4"/>
      <c r="K35" s="4"/>
      <c r="L35" s="4"/>
      <c r="M35" s="4"/>
      <c r="N35" s="4"/>
      <c r="O35" s="4"/>
      <c r="P35" s="48"/>
      <c r="Q35" s="48"/>
      <c r="R35" s="48"/>
      <c r="S35" s="48"/>
      <c r="T35" s="48"/>
      <c r="U35" s="48"/>
      <c r="V35" s="48"/>
    </row>
    <row r="36" spans="1:22">
      <c r="A36" s="4"/>
      <c r="B36" s="4"/>
      <c r="C36" s="4"/>
      <c r="D36" s="4"/>
      <c r="E36" s="4"/>
      <c r="F36" s="4"/>
      <c r="G36" s="4"/>
      <c r="H36" s="4"/>
      <c r="I36" s="4"/>
      <c r="J36" s="4"/>
      <c r="K36" s="4"/>
      <c r="L36" s="4"/>
      <c r="M36" s="4"/>
      <c r="N36" s="4"/>
      <c r="O36" s="4"/>
      <c r="P36" s="48"/>
      <c r="Q36" s="48"/>
      <c r="R36" s="48"/>
      <c r="S36" s="48"/>
      <c r="T36" s="48"/>
      <c r="U36" s="48"/>
      <c r="V36" s="48"/>
    </row>
    <row r="37" spans="1:22">
      <c r="A37" s="4"/>
      <c r="B37" s="4"/>
      <c r="C37" s="4"/>
      <c r="D37" s="4"/>
      <c r="E37" s="4"/>
      <c r="F37" s="4"/>
      <c r="G37" s="4"/>
      <c r="H37" s="4"/>
      <c r="I37" s="4"/>
      <c r="J37" s="4"/>
      <c r="K37" s="4"/>
      <c r="L37" s="4"/>
      <c r="M37" s="4"/>
      <c r="N37" s="4"/>
      <c r="O37" s="4"/>
      <c r="P37" s="48"/>
      <c r="Q37" s="48"/>
      <c r="R37" s="48"/>
      <c r="S37" s="48"/>
      <c r="T37" s="48"/>
      <c r="U37" s="48"/>
      <c r="V37" s="48"/>
    </row>
    <row r="38" spans="1:22">
      <c r="A38" s="4"/>
      <c r="B38" s="4"/>
      <c r="C38" s="4"/>
      <c r="D38" s="4"/>
      <c r="E38" s="4"/>
      <c r="F38" s="4"/>
      <c r="G38" s="4"/>
      <c r="H38" s="4"/>
      <c r="I38" s="4"/>
      <c r="J38" s="4"/>
      <c r="K38" s="4"/>
      <c r="L38" s="4"/>
      <c r="M38" s="4"/>
      <c r="N38" s="4"/>
      <c r="O38" s="4"/>
      <c r="P38" s="48"/>
      <c r="Q38" s="48"/>
      <c r="R38" s="48"/>
      <c r="S38" s="48"/>
      <c r="T38" s="48"/>
      <c r="U38" s="48"/>
      <c r="V38" s="48"/>
    </row>
    <row r="39" spans="1:22">
      <c r="A39" s="4"/>
      <c r="B39" s="4"/>
      <c r="C39" s="4"/>
      <c r="D39" s="4"/>
      <c r="E39" s="4"/>
      <c r="F39" s="4"/>
      <c r="G39" s="4"/>
      <c r="H39" s="4"/>
      <c r="I39" s="4"/>
      <c r="J39" s="4"/>
      <c r="K39" s="4"/>
      <c r="L39" s="4"/>
      <c r="M39" s="4"/>
      <c r="N39" s="4"/>
      <c r="O39" s="4"/>
      <c r="P39" s="48"/>
      <c r="Q39" s="48"/>
      <c r="R39" s="48"/>
      <c r="S39" s="48"/>
      <c r="T39" s="48"/>
      <c r="U39" s="48"/>
      <c r="V39" s="48"/>
    </row>
    <row r="40" spans="1:22">
      <c r="A40" s="4"/>
      <c r="B40" s="4"/>
      <c r="C40" s="4"/>
      <c r="D40" s="4"/>
      <c r="E40" s="4"/>
      <c r="F40" s="4"/>
      <c r="G40" s="4"/>
      <c r="H40" s="4"/>
      <c r="I40" s="4"/>
      <c r="J40" s="4"/>
      <c r="K40" s="4"/>
      <c r="L40" s="4"/>
      <c r="M40" s="4"/>
      <c r="N40" s="4"/>
      <c r="O40" s="4"/>
      <c r="P40" s="48"/>
      <c r="Q40" s="48"/>
      <c r="R40" s="48"/>
      <c r="S40" s="48"/>
      <c r="T40" s="48"/>
      <c r="U40" s="48"/>
      <c r="V40" s="48"/>
    </row>
    <row r="41" spans="1:22">
      <c r="A41" s="4"/>
      <c r="B41" s="4"/>
      <c r="C41" s="4"/>
      <c r="D41" s="4"/>
      <c r="E41" s="4"/>
      <c r="F41" s="4"/>
      <c r="G41" s="4"/>
      <c r="H41" s="4"/>
      <c r="I41" s="4"/>
      <c r="J41" s="4"/>
      <c r="K41" s="4"/>
      <c r="L41" s="4"/>
      <c r="M41" s="4"/>
      <c r="N41" s="4"/>
      <c r="O41" s="4"/>
      <c r="P41" s="48"/>
      <c r="Q41" s="48"/>
      <c r="R41" s="48"/>
      <c r="S41" s="48"/>
      <c r="T41" s="48"/>
      <c r="U41" s="48"/>
      <c r="V41" s="48"/>
    </row>
    <row r="42" spans="1:22">
      <c r="A42" s="4"/>
      <c r="B42" s="4"/>
      <c r="C42" s="4"/>
      <c r="D42" s="4"/>
      <c r="E42" s="4"/>
      <c r="F42" s="4"/>
      <c r="G42" s="4"/>
      <c r="H42" s="4"/>
      <c r="I42" s="4"/>
      <c r="J42" s="4"/>
      <c r="K42" s="4"/>
      <c r="L42" s="4"/>
      <c r="M42" s="4"/>
      <c r="N42" s="4"/>
      <c r="O42" s="4"/>
      <c r="P42" s="48"/>
      <c r="Q42" s="48"/>
      <c r="R42" s="48"/>
      <c r="S42" s="48"/>
      <c r="T42" s="48"/>
      <c r="U42" s="48"/>
      <c r="V42" s="48"/>
    </row>
  </sheetData>
  <pageMargins left="0.7" right="0.7" top="0.75" bottom="0.75" header="0.3" footer="0.3"/>
  <pageSetup orientation="portrait" r:id="rId1"/>
  <headerFooter>
    <oddFooter>&amp;C_x000D_&amp;1#&amp;"Calibri"&amp;8&amp;K000000 Classification: General</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1C09-3009-4CB0-B367-2BAF69C0171E}">
  <sheetPr>
    <tabColor rgb="FF92D050"/>
  </sheetPr>
  <dimension ref="A1:O343"/>
  <sheetViews>
    <sheetView showGridLines="0" zoomScaleNormal="100" workbookViewId="0">
      <selection activeCell="C128" sqref="C128"/>
    </sheetView>
  </sheetViews>
  <sheetFormatPr defaultRowHeight="15.75"/>
  <cols>
    <col min="1" max="1" width="2.5" customWidth="1"/>
    <col min="2" max="3" width="29.375" customWidth="1"/>
    <col min="4" max="11" width="11.125" customWidth="1"/>
    <col min="15" max="15" width="10.125" bestFit="1" customWidth="1"/>
    <col min="16" max="16" width="11.5" customWidth="1"/>
  </cols>
  <sheetData>
    <row r="1" spans="1:15" s="265" customFormat="1" ht="60" customHeight="1">
      <c r="B1" s="266" t="s">
        <v>0</v>
      </c>
      <c r="C1" s="266"/>
      <c r="D1" s="267"/>
      <c r="E1" s="268"/>
      <c r="F1" s="268"/>
      <c r="G1" s="268"/>
      <c r="H1" s="268"/>
      <c r="I1" s="268"/>
      <c r="L1" s="264"/>
    </row>
    <row r="2" spans="1:15">
      <c r="A2" s="6"/>
      <c r="B2" s="6" t="s">
        <v>1</v>
      </c>
      <c r="C2" s="6"/>
      <c r="D2" s="639">
        <v>45183</v>
      </c>
      <c r="E2" s="6"/>
      <c r="F2" s="6"/>
      <c r="G2" s="6"/>
      <c r="H2" s="6"/>
      <c r="I2" s="6"/>
      <c r="J2" s="6"/>
      <c r="K2" s="6"/>
      <c r="L2" s="6"/>
      <c r="M2" s="6"/>
    </row>
    <row r="3" spans="1:15">
      <c r="A3" s="6"/>
      <c r="B3" t="s">
        <v>2</v>
      </c>
      <c r="D3" s="5"/>
      <c r="E3" s="6"/>
      <c r="F3" s="6"/>
      <c r="G3" s="6"/>
      <c r="H3" s="6"/>
      <c r="I3" s="6"/>
      <c r="J3" s="6"/>
      <c r="K3" s="6"/>
      <c r="L3" s="6"/>
      <c r="M3" s="6"/>
    </row>
    <row r="4" spans="1:15">
      <c r="A4" s="6"/>
      <c r="B4" s="663" t="s">
        <v>3</v>
      </c>
      <c r="C4" s="663"/>
      <c r="D4" s="663"/>
      <c r="E4" s="663"/>
      <c r="F4" s="663"/>
      <c r="G4" s="663"/>
      <c r="H4" s="663"/>
      <c r="I4" s="663"/>
      <c r="J4" s="663"/>
      <c r="K4" s="663"/>
      <c r="L4" s="663"/>
      <c r="M4" s="663"/>
      <c r="N4" s="663"/>
      <c r="O4" s="663"/>
    </row>
    <row r="5" spans="1:15" s="265" customFormat="1" ht="17.25">
      <c r="B5" s="304" t="s">
        <v>4</v>
      </c>
      <c r="C5" s="304"/>
    </row>
    <row r="6" spans="1:15" ht="5.25" customHeight="1">
      <c r="B6" s="406"/>
      <c r="C6" s="406"/>
    </row>
    <row r="7" spans="1:15" s="421" customFormat="1" ht="21">
      <c r="B7" s="659" t="s">
        <v>5</v>
      </c>
      <c r="C7" s="659"/>
      <c r="D7" s="659"/>
      <c r="E7" s="659"/>
      <c r="G7" s="661" t="s">
        <v>6</v>
      </c>
      <c r="H7" s="661"/>
      <c r="I7" s="661"/>
      <c r="J7" s="661"/>
      <c r="K7" s="661"/>
      <c r="L7" s="661"/>
    </row>
    <row r="8" spans="1:15" s="421" customFormat="1">
      <c r="B8" s="662" t="s">
        <v>7</v>
      </c>
      <c r="C8" s="662"/>
      <c r="D8" s="662"/>
      <c r="E8" s="662"/>
      <c r="G8" s="660" t="s">
        <v>8</v>
      </c>
      <c r="H8" s="660"/>
      <c r="I8" s="660"/>
      <c r="J8" s="660"/>
      <c r="K8" s="660"/>
      <c r="L8" s="660"/>
    </row>
    <row r="9" spans="1:15" s="421" customFormat="1" ht="12.75">
      <c r="B9" s="660" t="s">
        <v>9</v>
      </c>
      <c r="C9" s="660"/>
      <c r="D9" s="660"/>
      <c r="E9" s="660"/>
      <c r="G9" s="660" t="s">
        <v>10</v>
      </c>
      <c r="H9" s="660"/>
      <c r="I9" s="660"/>
      <c r="J9" s="660"/>
      <c r="K9" s="660"/>
      <c r="L9" s="660"/>
    </row>
    <row r="10" spans="1:15" s="421" customFormat="1" ht="16.5" customHeight="1">
      <c r="B10" s="660" t="s">
        <v>11</v>
      </c>
      <c r="C10" s="660"/>
      <c r="D10" s="660"/>
      <c r="E10" s="660"/>
      <c r="G10" s="660" t="s">
        <v>12</v>
      </c>
      <c r="H10" s="660"/>
      <c r="I10" s="660"/>
      <c r="J10" s="660"/>
      <c r="K10" s="660"/>
      <c r="L10" s="660"/>
    </row>
    <row r="11" spans="1:15" s="421" customFormat="1" ht="12.75">
      <c r="B11" s="660" t="s">
        <v>13</v>
      </c>
      <c r="C11" s="660"/>
      <c r="D11" s="660"/>
      <c r="E11" s="660"/>
      <c r="G11" s="660" t="s">
        <v>14</v>
      </c>
      <c r="H11" s="660"/>
      <c r="I11" s="660"/>
      <c r="J11" s="660"/>
      <c r="K11" s="660"/>
      <c r="L11" s="660"/>
    </row>
    <row r="12" spans="1:15" s="421" customFormat="1" ht="12.75">
      <c r="B12" s="660" t="s">
        <v>15</v>
      </c>
      <c r="C12" s="660"/>
      <c r="D12" s="660"/>
      <c r="E12" s="660"/>
      <c r="G12" s="660" t="s">
        <v>16</v>
      </c>
      <c r="H12" s="660"/>
      <c r="I12" s="660"/>
      <c r="J12" s="660"/>
      <c r="K12" s="660"/>
      <c r="L12" s="660"/>
    </row>
    <row r="13" spans="1:15" s="421" customFormat="1" ht="12.75">
      <c r="B13" s="660" t="s">
        <v>17</v>
      </c>
      <c r="C13" s="660"/>
      <c r="D13" s="660"/>
      <c r="E13" s="660"/>
      <c r="G13" s="660" t="s">
        <v>18</v>
      </c>
      <c r="H13" s="660"/>
      <c r="I13" s="660"/>
      <c r="J13" s="660"/>
      <c r="K13" s="660"/>
      <c r="L13" s="660"/>
    </row>
    <row r="14" spans="1:15" s="421" customFormat="1" ht="18.75">
      <c r="B14" s="660" t="s">
        <v>19</v>
      </c>
      <c r="C14" s="660"/>
      <c r="D14" s="660"/>
      <c r="E14" s="660"/>
      <c r="G14" s="661" t="s">
        <v>20</v>
      </c>
      <c r="H14" s="661"/>
      <c r="I14" s="661"/>
      <c r="J14" s="661"/>
      <c r="K14" s="661"/>
      <c r="L14" s="661"/>
    </row>
    <row r="15" spans="1:15" s="421" customFormat="1" ht="12.75">
      <c r="B15" s="660" t="s">
        <v>21</v>
      </c>
      <c r="C15" s="660"/>
      <c r="D15" s="660"/>
      <c r="E15" s="660"/>
      <c r="G15" s="660" t="s">
        <v>22</v>
      </c>
      <c r="H15" s="660"/>
      <c r="I15" s="660"/>
      <c r="J15" s="660"/>
      <c r="K15" s="660"/>
      <c r="L15" s="660"/>
    </row>
    <row r="16" spans="1:15" s="421" customFormat="1" ht="12.75">
      <c r="B16" s="660" t="s">
        <v>23</v>
      </c>
      <c r="C16" s="660"/>
      <c r="D16" s="660"/>
      <c r="E16" s="660"/>
      <c r="G16" s="660" t="s">
        <v>24</v>
      </c>
      <c r="H16" s="660"/>
      <c r="I16" s="660"/>
      <c r="J16" s="660"/>
      <c r="K16" s="660"/>
      <c r="L16" s="660"/>
    </row>
    <row r="17" spans="1:12" s="421" customFormat="1">
      <c r="B17" s="662" t="s">
        <v>25</v>
      </c>
      <c r="C17" s="662"/>
      <c r="D17" s="662"/>
      <c r="E17" s="662"/>
      <c r="F17" s="362"/>
      <c r="G17" s="660" t="s">
        <v>26</v>
      </c>
      <c r="H17" s="660"/>
      <c r="I17" s="660"/>
      <c r="J17" s="660"/>
      <c r="K17" s="660"/>
      <c r="L17" s="660"/>
    </row>
    <row r="18" spans="1:12" s="421" customFormat="1" ht="21">
      <c r="B18" s="662" t="s">
        <v>27</v>
      </c>
      <c r="C18" s="662"/>
      <c r="D18" s="662"/>
      <c r="E18" s="662"/>
      <c r="F18" s="362"/>
      <c r="G18" s="659" t="s">
        <v>28</v>
      </c>
      <c r="H18" s="659"/>
      <c r="I18" s="659"/>
      <c r="J18" s="659"/>
      <c r="K18" s="659"/>
      <c r="L18" s="659"/>
    </row>
    <row r="19" spans="1:12" s="421" customFormat="1">
      <c r="B19" s="662" t="s">
        <v>29</v>
      </c>
      <c r="C19" s="662"/>
      <c r="D19" s="662"/>
      <c r="E19" s="662"/>
      <c r="F19" s="362"/>
      <c r="G19" s="660" t="s">
        <v>30</v>
      </c>
      <c r="H19" s="660"/>
      <c r="I19" s="660"/>
      <c r="J19" s="660"/>
      <c r="K19" s="660"/>
      <c r="L19" s="660"/>
    </row>
    <row r="20" spans="1:12" s="421" customFormat="1">
      <c r="B20" s="660" t="s">
        <v>31</v>
      </c>
      <c r="C20" s="660"/>
      <c r="D20" s="660"/>
      <c r="E20" s="660"/>
      <c r="F20" s="362"/>
      <c r="G20" s="660" t="s">
        <v>32</v>
      </c>
      <c r="H20" s="660"/>
      <c r="I20" s="660"/>
      <c r="J20" s="660"/>
      <c r="K20" s="660"/>
      <c r="L20" s="660"/>
    </row>
    <row r="21" spans="1:12" s="421" customFormat="1" ht="21">
      <c r="B21" s="660" t="s">
        <v>33</v>
      </c>
      <c r="C21" s="660"/>
      <c r="D21" s="660"/>
      <c r="E21" s="660"/>
      <c r="F21" s="362"/>
      <c r="G21" s="659" t="s">
        <v>35</v>
      </c>
      <c r="H21" s="659"/>
      <c r="I21" s="659"/>
      <c r="J21" s="659"/>
      <c r="K21" s="659"/>
      <c r="L21" s="659"/>
    </row>
    <row r="22" spans="1:12" s="421" customFormat="1">
      <c r="B22" s="662" t="s">
        <v>34</v>
      </c>
      <c r="C22" s="662"/>
      <c r="D22" s="662"/>
      <c r="E22" s="662"/>
      <c r="F22" s="362"/>
    </row>
    <row r="23" spans="1:12" s="421" customFormat="1">
      <c r="B23" s="660" t="s">
        <v>36</v>
      </c>
      <c r="C23" s="660"/>
      <c r="D23" s="660"/>
      <c r="E23" s="660"/>
      <c r="F23" s="362"/>
    </row>
    <row r="24" spans="1:12" s="421" customFormat="1">
      <c r="B24" s="660" t="s">
        <v>37</v>
      </c>
      <c r="C24" s="660"/>
      <c r="D24" s="660"/>
      <c r="E24" s="660"/>
      <c r="F24" s="362"/>
    </row>
    <row r="25" spans="1:12" s="421" customFormat="1">
      <c r="B25" s="660" t="s">
        <v>38</v>
      </c>
      <c r="C25" s="660"/>
      <c r="D25" s="660"/>
      <c r="E25" s="660"/>
      <c r="F25" s="362"/>
    </row>
    <row r="26" spans="1:12" ht="5.25" customHeight="1">
      <c r="B26" s="341"/>
      <c r="C26" s="341"/>
      <c r="D26" s="1"/>
      <c r="E26" s="1"/>
      <c r="I26" s="421"/>
      <c r="J26" s="421"/>
      <c r="K26" s="421"/>
    </row>
    <row r="27" spans="1:12" s="265" customFormat="1" ht="17.25">
      <c r="B27" s="304" t="s">
        <v>5</v>
      </c>
      <c r="C27" s="304"/>
    </row>
    <row r="28" spans="1:12" ht="4.5" customHeight="1">
      <c r="D28" s="1"/>
      <c r="E28" s="1"/>
    </row>
    <row r="29" spans="1:12" s="404" customFormat="1">
      <c r="B29" s="404" t="s">
        <v>7</v>
      </c>
      <c r="D29" s="405"/>
      <c r="E29" s="405"/>
    </row>
    <row r="30" spans="1:12" ht="16.5" thickBot="1">
      <c r="A30" s="363" t="s">
        <v>9</v>
      </c>
    </row>
    <row r="31" spans="1:12" ht="28.5">
      <c r="B31" s="391" t="s">
        <v>39</v>
      </c>
      <c r="C31" s="391" t="s">
        <v>40</v>
      </c>
      <c r="D31" s="391" t="s">
        <v>41</v>
      </c>
      <c r="E31" s="391" t="s">
        <v>42</v>
      </c>
      <c r="F31" s="391" t="s">
        <v>43</v>
      </c>
      <c r="G31" s="391" t="s">
        <v>44</v>
      </c>
      <c r="H31" s="391" t="s">
        <v>45</v>
      </c>
    </row>
    <row r="32" spans="1:12">
      <c r="B32" s="17" t="s">
        <v>46</v>
      </c>
      <c r="C32" s="410">
        <v>1783735.6082402391</v>
      </c>
      <c r="D32" s="410">
        <v>1891360</v>
      </c>
      <c r="E32" s="410">
        <v>1685564</v>
      </c>
      <c r="F32" s="410">
        <v>1566937</v>
      </c>
      <c r="G32" s="410">
        <v>1552330</v>
      </c>
      <c r="H32" s="410">
        <v>1552330</v>
      </c>
    </row>
    <row r="33" spans="1:8">
      <c r="B33" s="17" t="s">
        <v>47</v>
      </c>
      <c r="C33" s="410">
        <v>1298893.9872102763</v>
      </c>
      <c r="D33" s="410">
        <v>1481566</v>
      </c>
      <c r="E33" s="410">
        <v>1322489</v>
      </c>
      <c r="F33" s="410">
        <v>1390865</v>
      </c>
      <c r="G33" s="410">
        <v>1473414</v>
      </c>
      <c r="H33" s="410">
        <v>1473414</v>
      </c>
    </row>
    <row r="34" spans="1:8">
      <c r="B34" s="17" t="s">
        <v>48</v>
      </c>
      <c r="C34" s="410">
        <v>199803.35318032879</v>
      </c>
      <c r="D34" s="410">
        <v>201266</v>
      </c>
      <c r="E34" s="410">
        <v>140192</v>
      </c>
      <c r="F34" s="410">
        <v>135442</v>
      </c>
      <c r="G34" s="410">
        <v>141587</v>
      </c>
      <c r="H34" s="410">
        <v>141587</v>
      </c>
    </row>
    <row r="35" spans="1:8" ht="16.5" thickBot="1">
      <c r="B35" s="18" t="s">
        <v>49</v>
      </c>
      <c r="C35" s="415">
        <f>SUM(C32:C34)</f>
        <v>3282432.9486308442</v>
      </c>
      <c r="D35" s="415">
        <f>SUM(D32:D34)</f>
        <v>3574192</v>
      </c>
      <c r="E35" s="415">
        <f>SUM(E32:E34)</f>
        <v>3148245</v>
      </c>
      <c r="F35" s="416">
        <v>3093244</v>
      </c>
      <c r="G35" s="416">
        <f>SUM(G32:G34)</f>
        <v>3167331</v>
      </c>
      <c r="H35" s="416">
        <f>SUM(H32:H34)</f>
        <v>3167331</v>
      </c>
    </row>
    <row r="36" spans="1:8" ht="5.25" customHeight="1"/>
    <row r="37" spans="1:8" ht="16.5" thickBot="1">
      <c r="A37" s="363" t="s">
        <v>11</v>
      </c>
    </row>
    <row r="38" spans="1:8" ht="28.5">
      <c r="B38" s="391" t="s">
        <v>50</v>
      </c>
      <c r="C38" s="391" t="s">
        <v>40</v>
      </c>
      <c r="D38" s="390" t="s">
        <v>41</v>
      </c>
      <c r="E38" s="305" t="s">
        <v>42</v>
      </c>
      <c r="F38" s="305" t="s">
        <v>43</v>
      </c>
      <c r="G38" s="305" t="s">
        <v>44</v>
      </c>
      <c r="H38" s="305" t="s">
        <v>45</v>
      </c>
    </row>
    <row r="39" spans="1:8">
      <c r="B39" s="17" t="s">
        <v>46</v>
      </c>
      <c r="C39" s="407">
        <v>0.52900000000000003</v>
      </c>
      <c r="D39" s="502">
        <v>0.4798</v>
      </c>
      <c r="E39" s="151">
        <v>0.43</v>
      </c>
      <c r="F39" s="151">
        <v>0.2908</v>
      </c>
      <c r="G39" s="151">
        <v>0.26469999999999999</v>
      </c>
      <c r="H39" s="151">
        <v>0.26469999999999999</v>
      </c>
    </row>
    <row r="40" spans="1:8">
      <c r="A40" s="363"/>
      <c r="B40" s="17" t="s">
        <v>47</v>
      </c>
      <c r="C40" s="502">
        <v>0.97370000000000001</v>
      </c>
      <c r="D40" s="502">
        <v>0.98587000000000002</v>
      </c>
      <c r="E40" s="647">
        <v>0.98060000000000003</v>
      </c>
      <c r="F40" s="151">
        <v>0.97189999999999999</v>
      </c>
      <c r="G40" s="151">
        <v>0.96719999999999995</v>
      </c>
      <c r="H40" s="151">
        <v>0.96719999999999995</v>
      </c>
    </row>
    <row r="41" spans="1:8">
      <c r="A41" s="363"/>
      <c r="B41" s="17" t="s">
        <v>48</v>
      </c>
      <c r="C41" s="502">
        <v>0.86909999999999998</v>
      </c>
      <c r="D41" s="502">
        <v>0.98550000000000004</v>
      </c>
      <c r="E41" s="151">
        <v>0.98299999999999998</v>
      </c>
      <c r="F41" s="151">
        <v>0.96530000000000005</v>
      </c>
      <c r="G41" s="151">
        <v>0.96130000000000004</v>
      </c>
      <c r="H41" s="151">
        <v>0.96130000000000004</v>
      </c>
    </row>
    <row r="42" spans="1:8" ht="16.5" thickBot="1">
      <c r="A42" s="363"/>
      <c r="B42" s="18" t="s">
        <v>49</v>
      </c>
      <c r="C42" s="408">
        <v>0.72614082091722532</v>
      </c>
      <c r="D42" s="413">
        <v>0.71209999999999996</v>
      </c>
      <c r="E42" s="414">
        <v>0.68600000000000005</v>
      </c>
      <c r="F42" s="414">
        <v>0.62660000000000005</v>
      </c>
      <c r="G42" s="414">
        <v>0.62270000000000003</v>
      </c>
      <c r="H42" s="414">
        <v>0.62270000000000003</v>
      </c>
    </row>
    <row r="43" spans="1:8" ht="5.25" customHeight="1">
      <c r="A43" s="363"/>
    </row>
    <row r="44" spans="1:8" ht="16.5" thickBot="1">
      <c r="A44" s="363" t="s">
        <v>13</v>
      </c>
    </row>
    <row r="45" spans="1:8" ht="28.5">
      <c r="A45" s="363"/>
      <c r="B45" s="391" t="s">
        <v>50</v>
      </c>
      <c r="C45" s="391" t="s">
        <v>40</v>
      </c>
      <c r="D45" s="391" t="s">
        <v>41</v>
      </c>
      <c r="E45" s="391" t="s">
        <v>42</v>
      </c>
      <c r="F45" s="391" t="s">
        <v>43</v>
      </c>
      <c r="G45" s="391" t="s">
        <v>44</v>
      </c>
      <c r="H45" s="391" t="s">
        <v>45</v>
      </c>
    </row>
    <row r="46" spans="1:8">
      <c r="A46" s="363"/>
      <c r="B46" s="17" t="s">
        <v>46</v>
      </c>
      <c r="C46" s="407">
        <v>1</v>
      </c>
      <c r="D46" s="407">
        <v>1</v>
      </c>
      <c r="E46" s="407">
        <v>1</v>
      </c>
      <c r="F46" s="407">
        <v>1</v>
      </c>
      <c r="G46" s="407">
        <v>0.997</v>
      </c>
      <c r="H46" s="407">
        <v>0.997</v>
      </c>
    </row>
    <row r="47" spans="1:8">
      <c r="A47" s="363"/>
      <c r="B47" s="17" t="s">
        <v>47</v>
      </c>
      <c r="C47" s="407">
        <v>1</v>
      </c>
      <c r="D47" s="407">
        <v>1</v>
      </c>
      <c r="E47" s="407">
        <v>1</v>
      </c>
      <c r="F47" s="407">
        <v>1</v>
      </c>
      <c r="G47" s="407">
        <v>0.99709999999999999</v>
      </c>
      <c r="H47" s="407">
        <v>0.99709999999999999</v>
      </c>
    </row>
    <row r="48" spans="1:8">
      <c r="A48" s="363"/>
      <c r="B48" s="17" t="s">
        <v>48</v>
      </c>
      <c r="C48" s="407">
        <v>1</v>
      </c>
      <c r="D48" s="407">
        <v>1</v>
      </c>
      <c r="E48" s="407">
        <v>1</v>
      </c>
      <c r="F48" s="407">
        <v>1</v>
      </c>
      <c r="G48" s="407">
        <v>1</v>
      </c>
      <c r="H48" s="407">
        <v>1</v>
      </c>
    </row>
    <row r="49" spans="1:8" ht="16.5" thickBot="1">
      <c r="A49" s="363"/>
      <c r="B49" s="18" t="s">
        <v>49</v>
      </c>
      <c r="C49" s="408">
        <v>1</v>
      </c>
      <c r="D49" s="408">
        <v>1</v>
      </c>
      <c r="E49" s="408">
        <v>1</v>
      </c>
      <c r="F49" s="408">
        <v>1</v>
      </c>
      <c r="G49" s="408">
        <v>0.99719999999999998</v>
      </c>
      <c r="H49" s="408">
        <v>0.99719999999999998</v>
      </c>
    </row>
    <row r="50" spans="1:8" ht="5.25" customHeight="1">
      <c r="A50" s="363"/>
    </row>
    <row r="51" spans="1:8" ht="16.5" thickBot="1">
      <c r="A51" s="363" t="s">
        <v>15</v>
      </c>
    </row>
    <row r="52" spans="1:8" ht="28.5">
      <c r="A52" s="363"/>
      <c r="B52" s="391" t="s">
        <v>50</v>
      </c>
      <c r="C52" s="391" t="s">
        <v>40</v>
      </c>
      <c r="D52" s="391" t="s">
        <v>41</v>
      </c>
      <c r="E52" s="391" t="s">
        <v>42</v>
      </c>
      <c r="F52" s="391" t="s">
        <v>43</v>
      </c>
      <c r="G52" s="391" t="s">
        <v>44</v>
      </c>
      <c r="H52" s="391" t="s">
        <v>45</v>
      </c>
    </row>
    <row r="53" spans="1:8">
      <c r="A53" s="363"/>
      <c r="B53" s="17" t="s">
        <v>46</v>
      </c>
      <c r="C53" s="503">
        <v>0</v>
      </c>
      <c r="D53" s="503">
        <v>0</v>
      </c>
      <c r="E53" s="407">
        <v>0</v>
      </c>
      <c r="F53" s="407">
        <v>0</v>
      </c>
      <c r="G53" s="407">
        <v>3.0000000000000001E-3</v>
      </c>
      <c r="H53" s="407">
        <v>3.0000000000000001E-3</v>
      </c>
    </row>
    <row r="54" spans="1:8">
      <c r="A54" s="363"/>
      <c r="B54" s="17" t="s">
        <v>47</v>
      </c>
      <c r="C54" s="503">
        <v>0</v>
      </c>
      <c r="D54" s="503">
        <v>0</v>
      </c>
      <c r="E54" s="407">
        <v>0</v>
      </c>
      <c r="F54" s="407">
        <v>0</v>
      </c>
      <c r="G54" s="407">
        <v>2.8999999999999998E-3</v>
      </c>
      <c r="H54" s="407">
        <v>2.8999999999999998E-3</v>
      </c>
    </row>
    <row r="55" spans="1:8">
      <c r="A55" s="363"/>
      <c r="B55" s="17" t="s">
        <v>48</v>
      </c>
      <c r="C55" s="503">
        <v>0</v>
      </c>
      <c r="D55" s="503">
        <v>0</v>
      </c>
      <c r="E55" s="407">
        <v>0</v>
      </c>
      <c r="F55" s="407">
        <v>0</v>
      </c>
      <c r="G55" s="407">
        <v>0</v>
      </c>
      <c r="H55" s="407">
        <v>0</v>
      </c>
    </row>
    <row r="56" spans="1:8" ht="16.5" thickBot="1">
      <c r="A56" s="363"/>
      <c r="B56" s="18" t="s">
        <v>49</v>
      </c>
      <c r="C56" s="409">
        <v>0</v>
      </c>
      <c r="D56" s="409">
        <v>0</v>
      </c>
      <c r="E56" s="408">
        <v>0</v>
      </c>
      <c r="F56" s="409">
        <v>0</v>
      </c>
      <c r="G56" s="409">
        <v>2.8E-3</v>
      </c>
      <c r="H56" s="409">
        <v>2.8E-3</v>
      </c>
    </row>
    <row r="57" spans="1:8" ht="5.25" customHeight="1">
      <c r="A57" s="363"/>
    </row>
    <row r="58" spans="1:8" ht="16.5" thickBot="1">
      <c r="A58" s="363" t="s">
        <v>51</v>
      </c>
    </row>
    <row r="59" spans="1:8" ht="28.5">
      <c r="A59" s="363"/>
      <c r="B59" s="391" t="s">
        <v>50</v>
      </c>
      <c r="C59" s="391" t="s">
        <v>40</v>
      </c>
      <c r="D59" s="390" t="s">
        <v>41</v>
      </c>
      <c r="E59" s="305" t="s">
        <v>42</v>
      </c>
      <c r="F59" s="305" t="s">
        <v>43</v>
      </c>
      <c r="G59" s="305" t="s">
        <v>44</v>
      </c>
      <c r="H59" s="305" t="s">
        <v>45</v>
      </c>
    </row>
    <row r="60" spans="1:8">
      <c r="A60" s="363"/>
      <c r="B60" s="17" t="s">
        <v>46</v>
      </c>
      <c r="C60" s="475">
        <v>945174.16098752397</v>
      </c>
      <c r="D60" s="475">
        <v>907489</v>
      </c>
      <c r="E60" s="412">
        <v>724512</v>
      </c>
      <c r="F60" s="412">
        <v>455602</v>
      </c>
      <c r="G60" s="412">
        <v>410939</v>
      </c>
      <c r="H60" s="412">
        <v>410939</v>
      </c>
    </row>
    <row r="61" spans="1:8">
      <c r="A61" s="363"/>
      <c r="B61" s="17" t="s">
        <v>47</v>
      </c>
      <c r="C61" s="475">
        <v>1264679.929219357</v>
      </c>
      <c r="D61" s="475">
        <v>1460632</v>
      </c>
      <c r="E61" s="412">
        <v>1296782</v>
      </c>
      <c r="F61" s="412">
        <v>1351770</v>
      </c>
      <c r="G61" s="412">
        <v>1425098</v>
      </c>
      <c r="H61" s="412">
        <v>1425098</v>
      </c>
    </row>
    <row r="62" spans="1:8">
      <c r="A62" s="363"/>
      <c r="B62" s="17" t="s">
        <v>48</v>
      </c>
      <c r="C62" s="475">
        <v>173654.46571766879</v>
      </c>
      <c r="D62" s="475">
        <v>198338</v>
      </c>
      <c r="E62" s="412">
        <v>137823</v>
      </c>
      <c r="F62" s="412">
        <v>130746</v>
      </c>
      <c r="G62" s="412">
        <v>136106</v>
      </c>
      <c r="H62" s="412">
        <v>136106</v>
      </c>
    </row>
    <row r="63" spans="1:8" ht="16.5" thickBot="1">
      <c r="A63" s="363"/>
      <c r="B63" s="18" t="s">
        <v>49</v>
      </c>
      <c r="C63" s="411">
        <f>SUM(C60:C62)</f>
        <v>2383508.5559245497</v>
      </c>
      <c r="D63" s="411">
        <f t="shared" ref="D63:H63" si="0">SUM(D60:D62)</f>
        <v>2566459</v>
      </c>
      <c r="E63" s="411">
        <f t="shared" si="0"/>
        <v>2159117</v>
      </c>
      <c r="F63" s="411">
        <f t="shared" si="0"/>
        <v>1938118</v>
      </c>
      <c r="G63" s="411">
        <f t="shared" si="0"/>
        <v>1972143</v>
      </c>
      <c r="H63" s="411">
        <f t="shared" si="0"/>
        <v>1972143</v>
      </c>
    </row>
    <row r="64" spans="1:8" ht="5.25" customHeight="1">
      <c r="A64" s="363"/>
    </row>
    <row r="65" spans="1:8" ht="16.5" thickBot="1">
      <c r="A65" s="363" t="s">
        <v>52</v>
      </c>
    </row>
    <row r="66" spans="1:8" ht="28.5">
      <c r="A66" s="363"/>
      <c r="B66" s="391" t="s">
        <v>50</v>
      </c>
      <c r="C66" s="391" t="s">
        <v>40</v>
      </c>
      <c r="D66" s="391" t="s">
        <v>41</v>
      </c>
      <c r="E66" s="391" t="s">
        <v>42</v>
      </c>
      <c r="F66" s="391" t="s">
        <v>43</v>
      </c>
      <c r="G66" s="391" t="s">
        <v>44</v>
      </c>
      <c r="H66" s="391" t="s">
        <v>45</v>
      </c>
    </row>
    <row r="67" spans="1:8">
      <c r="A67" s="363"/>
      <c r="B67" s="17" t="s">
        <v>46</v>
      </c>
      <c r="C67" s="475">
        <v>838561.44725271512</v>
      </c>
      <c r="D67" s="410">
        <v>983871</v>
      </c>
      <c r="E67" s="410">
        <v>961052</v>
      </c>
      <c r="F67" s="410">
        <v>1111335</v>
      </c>
      <c r="G67" s="410">
        <v>1136731</v>
      </c>
      <c r="H67" s="410">
        <v>1136731</v>
      </c>
    </row>
    <row r="68" spans="1:8">
      <c r="A68" s="363"/>
      <c r="B68" s="17" t="s">
        <v>47</v>
      </c>
      <c r="C68" s="410">
        <v>34214.057990919333</v>
      </c>
      <c r="D68" s="410">
        <v>20934</v>
      </c>
      <c r="E68" s="410">
        <v>25707</v>
      </c>
      <c r="F68" s="410">
        <v>39095</v>
      </c>
      <c r="G68" s="410">
        <v>44009</v>
      </c>
      <c r="H68" s="410">
        <v>44009</v>
      </c>
    </row>
    <row r="69" spans="1:8">
      <c r="A69" s="363"/>
      <c r="B69" s="17" t="s">
        <v>48</v>
      </c>
      <c r="C69" s="410">
        <v>26148.887462660001</v>
      </c>
      <c r="D69" s="410">
        <v>2928</v>
      </c>
      <c r="E69" s="410">
        <v>2369</v>
      </c>
      <c r="F69" s="410">
        <v>4696</v>
      </c>
      <c r="G69" s="410">
        <v>5481</v>
      </c>
      <c r="H69" s="410">
        <v>5481</v>
      </c>
    </row>
    <row r="70" spans="1:8" ht="16.5" thickBot="1">
      <c r="A70" s="363"/>
      <c r="B70" s="18" t="s">
        <v>49</v>
      </c>
      <c r="C70" s="415">
        <f>SUM(C67:C69)</f>
        <v>898924.39270629443</v>
      </c>
      <c r="D70" s="411">
        <f t="shared" ref="D70:H70" si="1">SUM(D67:D69)</f>
        <v>1007733</v>
      </c>
      <c r="E70" s="411">
        <f t="shared" si="1"/>
        <v>989128</v>
      </c>
      <c r="F70" s="411">
        <f t="shared" si="1"/>
        <v>1155126</v>
      </c>
      <c r="G70" s="411">
        <f t="shared" si="1"/>
        <v>1186221</v>
      </c>
      <c r="H70" s="411">
        <f t="shared" si="1"/>
        <v>1186221</v>
      </c>
    </row>
    <row r="71" spans="1:8" ht="5.25" customHeight="1">
      <c r="A71" s="363"/>
    </row>
    <row r="72" spans="1:8" ht="16.5" thickBot="1">
      <c r="A72" s="363" t="s">
        <v>53</v>
      </c>
    </row>
    <row r="73" spans="1:8" ht="28.5">
      <c r="A73" s="363"/>
      <c r="B73" s="391" t="s">
        <v>50</v>
      </c>
      <c r="C73" s="391" t="s">
        <v>40</v>
      </c>
      <c r="D73" s="391" t="s">
        <v>41</v>
      </c>
      <c r="E73" s="391" t="s">
        <v>42</v>
      </c>
      <c r="F73" s="391" t="s">
        <v>43</v>
      </c>
      <c r="G73" s="391" t="s">
        <v>44</v>
      </c>
      <c r="H73" s="391" t="s">
        <v>45</v>
      </c>
    </row>
    <row r="74" spans="1:8">
      <c r="A74" s="363"/>
      <c r="B74" s="17" t="s">
        <v>46</v>
      </c>
      <c r="C74" s="33">
        <v>0</v>
      </c>
      <c r="D74" s="33">
        <v>0</v>
      </c>
      <c r="E74" s="410">
        <v>0</v>
      </c>
      <c r="F74" s="410">
        <v>0</v>
      </c>
      <c r="G74" s="410">
        <v>4660</v>
      </c>
      <c r="H74" s="410">
        <v>4660</v>
      </c>
    </row>
    <row r="75" spans="1:8">
      <c r="A75" s="363"/>
      <c r="B75" s="17" t="s">
        <v>47</v>
      </c>
      <c r="C75" s="33">
        <v>0</v>
      </c>
      <c r="D75" s="33">
        <v>0</v>
      </c>
      <c r="E75" s="410">
        <v>0</v>
      </c>
      <c r="F75" s="410">
        <v>0</v>
      </c>
      <c r="G75" s="410">
        <v>4307</v>
      </c>
      <c r="H75" s="410">
        <v>4307</v>
      </c>
    </row>
    <row r="76" spans="1:8">
      <c r="A76" s="363"/>
      <c r="B76" s="17" t="s">
        <v>48</v>
      </c>
      <c r="C76" s="33">
        <v>0</v>
      </c>
      <c r="D76" s="33">
        <v>0</v>
      </c>
      <c r="E76" s="410">
        <v>0</v>
      </c>
      <c r="F76" s="410">
        <v>0</v>
      </c>
      <c r="G76" s="410">
        <v>0</v>
      </c>
      <c r="H76" s="410">
        <v>0</v>
      </c>
    </row>
    <row r="77" spans="1:8" ht="16.5" thickBot="1">
      <c r="A77" s="363"/>
      <c r="B77" s="18" t="s">
        <v>49</v>
      </c>
      <c r="C77" s="411">
        <f>SUM(C74:C76)</f>
        <v>0</v>
      </c>
      <c r="D77" s="411">
        <f>SUM(D74:D76)</f>
        <v>0</v>
      </c>
      <c r="E77" s="411">
        <f t="shared" ref="E77:H77" si="2">SUM(E74:E76)</f>
        <v>0</v>
      </c>
      <c r="F77" s="411">
        <f t="shared" si="2"/>
        <v>0</v>
      </c>
      <c r="G77" s="411">
        <f t="shared" si="2"/>
        <v>8967</v>
      </c>
      <c r="H77" s="411">
        <f t="shared" si="2"/>
        <v>8967</v>
      </c>
    </row>
    <row r="78" spans="1:8" ht="4.5" customHeight="1"/>
    <row r="79" spans="1:8" ht="16.5" thickBot="1">
      <c r="A79" s="363" t="s">
        <v>23</v>
      </c>
    </row>
    <row r="80" spans="1:8" ht="28.5">
      <c r="B80" s="391" t="s">
        <v>50</v>
      </c>
      <c r="C80" s="391" t="s">
        <v>40</v>
      </c>
      <c r="D80" s="391" t="s">
        <v>42</v>
      </c>
      <c r="E80" s="391" t="s">
        <v>42</v>
      </c>
      <c r="F80" s="391" t="s">
        <v>43</v>
      </c>
      <c r="G80" s="391" t="s">
        <v>44</v>
      </c>
      <c r="H80" s="391" t="s">
        <v>45</v>
      </c>
    </row>
    <row r="81" spans="2:13">
      <c r="B81" s="17" t="s">
        <v>54</v>
      </c>
      <c r="C81" s="504">
        <v>0.37359999999999999</v>
      </c>
      <c r="D81" s="504">
        <v>0.40400000000000003</v>
      </c>
      <c r="E81" s="156">
        <v>0.4</v>
      </c>
      <c r="F81" s="156">
        <v>0.41899999999999998</v>
      </c>
      <c r="G81" s="156">
        <v>0.43409999999999999</v>
      </c>
      <c r="H81" s="156">
        <v>0.43409999999999999</v>
      </c>
    </row>
    <row r="82" spans="2:13">
      <c r="B82" s="17" t="s">
        <v>55</v>
      </c>
      <c r="C82" s="504">
        <v>1.43E-2</v>
      </c>
      <c r="D82" s="504">
        <v>3.5999999999999997E-2</v>
      </c>
      <c r="E82" s="156">
        <v>2.9399999999999999E-2</v>
      </c>
      <c r="F82" s="156">
        <v>3.4000000000000002E-2</v>
      </c>
      <c r="G82" s="156">
        <v>3.4000000000000002E-2</v>
      </c>
      <c r="H82" s="156">
        <v>3.4000000000000002E-2</v>
      </c>
    </row>
    <row r="83" spans="2:13">
      <c r="B83" s="17" t="s">
        <v>56</v>
      </c>
      <c r="C83" s="504">
        <v>0.37719999999999998</v>
      </c>
      <c r="D83" s="504">
        <v>0.32100000000000001</v>
      </c>
      <c r="E83" s="156">
        <v>0.32600000000000001</v>
      </c>
      <c r="F83" s="156">
        <v>0.314</v>
      </c>
      <c r="G83" s="156">
        <v>0.31840000000000002</v>
      </c>
      <c r="H83" s="156">
        <v>0.31840000000000002</v>
      </c>
    </row>
    <row r="84" spans="2:13">
      <c r="B84" s="17" t="s">
        <v>57</v>
      </c>
      <c r="C84" s="504">
        <v>2.93E-2</v>
      </c>
      <c r="D84" s="504">
        <v>2.7E-2</v>
      </c>
      <c r="E84" s="156">
        <v>3.0499999999999999E-2</v>
      </c>
      <c r="F84" s="156">
        <v>3.7999999999999999E-2</v>
      </c>
      <c r="G84" s="156">
        <v>3.73E-2</v>
      </c>
      <c r="H84" s="156">
        <v>3.73E-2</v>
      </c>
    </row>
    <row r="85" spans="2:13">
      <c r="B85" s="17" t="s">
        <v>58</v>
      </c>
      <c r="C85" s="504">
        <v>0.20039999999999999</v>
      </c>
      <c r="D85" s="504">
        <v>0.20799999999999999</v>
      </c>
      <c r="E85" s="156">
        <v>0.2094</v>
      </c>
      <c r="F85" s="156">
        <v>0.19500000000000001</v>
      </c>
      <c r="G85" s="156">
        <v>0.1762</v>
      </c>
      <c r="H85" s="156">
        <v>0.1762</v>
      </c>
    </row>
    <row r="86" spans="2:13" ht="16.5" thickBot="1">
      <c r="B86" s="22" t="s">
        <v>59</v>
      </c>
      <c r="C86" s="505">
        <v>5.1999999999999998E-3</v>
      </c>
      <c r="D86" s="505">
        <v>4.0000000000000001E-3</v>
      </c>
      <c r="E86" s="157">
        <v>2.0000000000000001E-4</v>
      </c>
      <c r="F86" s="157">
        <v>0</v>
      </c>
      <c r="G86" s="157">
        <v>0</v>
      </c>
      <c r="H86" s="157">
        <v>0</v>
      </c>
      <c r="M86" s="63" t="s">
        <v>60</v>
      </c>
    </row>
    <row r="87" spans="2:13" ht="5.25" customHeight="1">
      <c r="B87" s="417"/>
      <c r="C87" s="417"/>
      <c r="D87" s="418"/>
      <c r="E87" s="418"/>
      <c r="F87" s="418"/>
      <c r="G87" s="418"/>
      <c r="H87" s="419"/>
    </row>
    <row r="88" spans="2:13" s="404" customFormat="1">
      <c r="B88" s="404" t="s">
        <v>25</v>
      </c>
      <c r="D88" s="405"/>
      <c r="E88" s="405"/>
    </row>
    <row r="89" spans="2:13" s="362" customFormat="1" ht="5.25" customHeight="1" thickBot="1">
      <c r="D89" s="420"/>
      <c r="E89" s="420"/>
    </row>
    <row r="90" spans="2:13" s="362" customFormat="1" ht="28.5">
      <c r="B90" s="305" t="s">
        <v>61</v>
      </c>
      <c r="C90" s="305" t="s">
        <v>40</v>
      </c>
      <c r="D90" s="305" t="s">
        <v>62</v>
      </c>
      <c r="E90" s="305" t="s">
        <v>41</v>
      </c>
      <c r="F90" s="305" t="s">
        <v>42</v>
      </c>
    </row>
    <row r="91" spans="2:13" s="362" customFormat="1" ht="42.75">
      <c r="B91" s="348" t="s">
        <v>63</v>
      </c>
      <c r="C91" s="431">
        <v>3383951.4934338601</v>
      </c>
      <c r="D91" s="431">
        <f>E91+F91</f>
        <v>6897229</v>
      </c>
      <c r="E91" s="431">
        <v>3684734</v>
      </c>
      <c r="F91" s="432">
        <v>3212495</v>
      </c>
    </row>
    <row r="92" spans="2:13" s="362" customFormat="1" ht="28.5">
      <c r="B92" s="348" t="s">
        <v>488</v>
      </c>
      <c r="C92" s="648" t="s">
        <v>489</v>
      </c>
      <c r="D92" s="431">
        <v>0</v>
      </c>
      <c r="E92" s="431">
        <v>0</v>
      </c>
      <c r="F92" s="432">
        <v>0</v>
      </c>
    </row>
    <row r="93" spans="2:13" s="362" customFormat="1" ht="28.5">
      <c r="B93" s="348" t="s">
        <v>64</v>
      </c>
      <c r="C93" s="433">
        <v>0</v>
      </c>
      <c r="D93" s="433">
        <f>F93+E93</f>
        <v>106271</v>
      </c>
      <c r="E93" s="433">
        <v>39327</v>
      </c>
      <c r="F93" s="432">
        <v>66944</v>
      </c>
    </row>
    <row r="94" spans="2:13" s="362" customFormat="1" ht="29.25" thickBot="1">
      <c r="B94" s="349" t="s">
        <v>65</v>
      </c>
      <c r="C94" s="434">
        <v>0</v>
      </c>
      <c r="D94" s="434">
        <f>F94+E94</f>
        <v>36528771</v>
      </c>
      <c r="E94" s="434">
        <v>1624790</v>
      </c>
      <c r="F94" s="435">
        <v>34903981</v>
      </c>
      <c r="M94" s="63" t="s">
        <v>60</v>
      </c>
    </row>
    <row r="95" spans="2:13" s="362" customFormat="1" ht="5.25" customHeight="1">
      <c r="C95" s="362">
        <v>0</v>
      </c>
      <c r="D95" s="420"/>
      <c r="E95" s="420"/>
    </row>
    <row r="96" spans="2:13" s="404" customFormat="1">
      <c r="B96" s="404" t="s">
        <v>27</v>
      </c>
      <c r="D96" s="405"/>
      <c r="E96" s="405"/>
    </row>
    <row r="97" spans="1:13" s="362" customFormat="1" ht="4.5" customHeight="1">
      <c r="D97" s="420"/>
      <c r="E97" s="420"/>
    </row>
    <row r="98" spans="1:13" s="362" customFormat="1" ht="16.5" thickBot="1">
      <c r="A98" s="363" t="s">
        <v>66</v>
      </c>
      <c r="D98" s="420"/>
      <c r="E98" s="420"/>
    </row>
    <row r="99" spans="1:13" s="362" customFormat="1" ht="28.5">
      <c r="B99" s="305" t="s">
        <v>61</v>
      </c>
      <c r="C99" s="305" t="s">
        <v>40</v>
      </c>
      <c r="D99" s="305" t="s">
        <v>41</v>
      </c>
      <c r="E99" s="305" t="s">
        <v>42</v>
      </c>
      <c r="F99" s="305" t="s">
        <v>43</v>
      </c>
      <c r="G99" s="305" t="s">
        <v>44</v>
      </c>
      <c r="H99" s="305" t="s">
        <v>45</v>
      </c>
    </row>
    <row r="100" spans="1:13" s="362" customFormat="1">
      <c r="B100" s="348" t="s">
        <v>67</v>
      </c>
      <c r="C100" s="640">
        <f>18974168.96/1000</f>
        <v>18974.168960000003</v>
      </c>
      <c r="D100" s="640">
        <v>32028</v>
      </c>
      <c r="E100" s="432">
        <v>25986</v>
      </c>
      <c r="F100" s="526" t="s">
        <v>68</v>
      </c>
      <c r="G100" s="526" t="s">
        <v>68</v>
      </c>
      <c r="H100" s="526" t="s">
        <v>68</v>
      </c>
    </row>
    <row r="101" spans="1:13" s="362" customFormat="1">
      <c r="B101" s="348" t="s">
        <v>69</v>
      </c>
      <c r="C101" s="432">
        <f>4814584.86/1000</f>
        <v>4814.5848599999999</v>
      </c>
      <c r="D101" s="432">
        <v>5194</v>
      </c>
      <c r="E101" s="432">
        <v>4621</v>
      </c>
      <c r="F101" s="526" t="s">
        <v>68</v>
      </c>
      <c r="G101" s="526" t="s">
        <v>68</v>
      </c>
      <c r="H101" s="526" t="s">
        <v>68</v>
      </c>
    </row>
    <row r="102" spans="1:13" s="362" customFormat="1" ht="16.5" thickBot="1">
      <c r="B102" s="349" t="s">
        <v>49</v>
      </c>
      <c r="C102" s="436">
        <f>SUM(C100:C101)</f>
        <v>23788.753820000002</v>
      </c>
      <c r="D102" s="436">
        <f>SUM(D100:D101)</f>
        <v>37222</v>
      </c>
      <c r="E102" s="573">
        <v>23676.400000000001</v>
      </c>
      <c r="F102" s="436">
        <v>15107</v>
      </c>
      <c r="G102" s="436">
        <v>26174.628000000001</v>
      </c>
      <c r="H102" s="436">
        <v>26174.628000000001</v>
      </c>
      <c r="M102" s="63" t="s">
        <v>60</v>
      </c>
    </row>
    <row r="103" spans="1:13" s="362" customFormat="1" ht="5.25" customHeight="1">
      <c r="E103"/>
      <c r="F103" s="30"/>
      <c r="G103"/>
      <c r="H103"/>
      <c r="I103"/>
      <c r="J103"/>
    </row>
    <row r="104" spans="1:13" s="404" customFormat="1">
      <c r="B104" s="404" t="s">
        <v>29</v>
      </c>
      <c r="D104" s="405"/>
      <c r="E104" s="405"/>
    </row>
    <row r="105" spans="1:13" s="362" customFormat="1" ht="5.25" customHeight="1">
      <c r="D105" s="420"/>
      <c r="E105" s="420"/>
    </row>
    <row r="106" spans="1:13" s="362" customFormat="1" ht="16.5" thickBot="1">
      <c r="A106" s="63" t="s">
        <v>459</v>
      </c>
      <c r="D106" s="420"/>
      <c r="E106" s="420"/>
    </row>
    <row r="107" spans="1:13" s="362" customFormat="1" ht="28.5">
      <c r="B107" s="391" t="s">
        <v>70</v>
      </c>
      <c r="C107" s="305" t="s">
        <v>40</v>
      </c>
      <c r="D107" s="391" t="s">
        <v>41</v>
      </c>
      <c r="E107" s="391" t="s">
        <v>42</v>
      </c>
      <c r="F107" s="391" t="s">
        <v>43</v>
      </c>
      <c r="G107" s="391" t="s">
        <v>44</v>
      </c>
      <c r="H107" s="391" t="s">
        <v>45</v>
      </c>
    </row>
    <row r="108" spans="1:13" s="362" customFormat="1" ht="16.5" thickBot="1">
      <c r="B108" s="22" t="s">
        <v>71</v>
      </c>
      <c r="C108" s="429">
        <v>560278.31999999995</v>
      </c>
      <c r="D108" s="429">
        <v>627770.30000000005</v>
      </c>
      <c r="E108" s="429">
        <v>346394</v>
      </c>
      <c r="F108" s="430">
        <v>374698.06</v>
      </c>
      <c r="G108" s="430">
        <v>382192</v>
      </c>
      <c r="H108" s="430">
        <v>3249513</v>
      </c>
    </row>
    <row r="109" spans="1:13" s="362" customFormat="1" ht="5.25" customHeight="1">
      <c r="D109" s="420"/>
      <c r="E109" s="420"/>
    </row>
    <row r="110" spans="1:13" s="362" customFormat="1" ht="16.5" thickBot="1">
      <c r="A110" s="363" t="s">
        <v>33</v>
      </c>
      <c r="D110" s="420"/>
      <c r="E110" s="420"/>
    </row>
    <row r="111" spans="1:13" s="362" customFormat="1" ht="28.5">
      <c r="B111" s="422" t="s">
        <v>61</v>
      </c>
      <c r="C111" s="305" t="s">
        <v>40</v>
      </c>
      <c r="D111" s="305" t="s">
        <v>41</v>
      </c>
      <c r="E111" s="423" t="s">
        <v>42</v>
      </c>
      <c r="F111" s="350" t="s">
        <v>43</v>
      </c>
      <c r="G111" s="350" t="s">
        <v>45</v>
      </c>
      <c r="H111" s="350" t="s">
        <v>72</v>
      </c>
    </row>
    <row r="112" spans="1:13" s="362" customFormat="1" ht="28.5">
      <c r="B112" s="74" t="s">
        <v>73</v>
      </c>
      <c r="C112" s="524" t="s">
        <v>74</v>
      </c>
      <c r="D112" s="524" t="s">
        <v>74</v>
      </c>
      <c r="E112" s="424" t="s">
        <v>74</v>
      </c>
      <c r="F112" s="180" t="s">
        <v>74</v>
      </c>
      <c r="G112" s="180" t="s">
        <v>74</v>
      </c>
      <c r="H112" s="180" t="s">
        <v>74</v>
      </c>
    </row>
    <row r="113" spans="1:13" s="362" customFormat="1" ht="16.5" thickBot="1">
      <c r="B113" s="386" t="s">
        <v>75</v>
      </c>
      <c r="C113" s="525" t="s">
        <v>76</v>
      </c>
      <c r="D113" s="525" t="s">
        <v>76</v>
      </c>
      <c r="E113" s="425" t="s">
        <v>76</v>
      </c>
      <c r="F113" s="351" t="s">
        <v>76</v>
      </c>
      <c r="G113" s="351" t="s">
        <v>76</v>
      </c>
      <c r="H113" s="351" t="s">
        <v>76</v>
      </c>
      <c r="M113" s="63" t="s">
        <v>60</v>
      </c>
    </row>
    <row r="114" spans="1:13" s="362" customFormat="1" ht="5.25" customHeight="1">
      <c r="D114" s="420"/>
      <c r="E114" s="420"/>
    </row>
    <row r="115" spans="1:13" s="404" customFormat="1">
      <c r="B115" s="404" t="s">
        <v>34</v>
      </c>
      <c r="D115" s="405"/>
      <c r="E115" s="405"/>
    </row>
    <row r="116" spans="1:13" s="362" customFormat="1" ht="4.5" customHeight="1">
      <c r="D116" s="420"/>
      <c r="E116" s="420"/>
    </row>
    <row r="117" spans="1:13" ht="16.5" thickBot="1">
      <c r="A117" s="363" t="s">
        <v>36</v>
      </c>
    </row>
    <row r="118" spans="1:13" s="362" customFormat="1" ht="28.5">
      <c r="B118" s="422" t="s">
        <v>77</v>
      </c>
      <c r="C118" s="305" t="s">
        <v>40</v>
      </c>
      <c r="D118" s="305" t="s">
        <v>41</v>
      </c>
      <c r="E118" s="305" t="s">
        <v>42</v>
      </c>
      <c r="F118" s="426" t="s">
        <v>78</v>
      </c>
      <c r="G118" s="305" t="s">
        <v>43</v>
      </c>
      <c r="H118" s="305" t="s">
        <v>44</v>
      </c>
      <c r="I118" s="305" t="s">
        <v>45</v>
      </c>
      <c r="J118"/>
      <c r="K118"/>
      <c r="L118"/>
      <c r="M118"/>
    </row>
    <row r="119" spans="1:13" s="362" customFormat="1" ht="28.5">
      <c r="B119" s="74" t="s">
        <v>79</v>
      </c>
      <c r="C119" s="653">
        <v>213.96059</v>
      </c>
      <c r="D119" s="439">
        <v>271.48683906723602</v>
      </c>
      <c r="E119" s="437">
        <v>325.56510299999997</v>
      </c>
      <c r="F119" s="438">
        <v>199.63416799999999</v>
      </c>
      <c r="G119" s="437">
        <v>201.96106900000001</v>
      </c>
      <c r="H119" s="437">
        <v>179.048541</v>
      </c>
      <c r="I119" s="437">
        <v>388.54309200000006</v>
      </c>
      <c r="J119"/>
      <c r="K119" s="652"/>
      <c r="L119"/>
      <c r="M119"/>
    </row>
    <row r="120" spans="1:13">
      <c r="B120" s="74" t="s">
        <v>80</v>
      </c>
      <c r="C120" s="653">
        <v>0</v>
      </c>
      <c r="D120" s="439">
        <v>0</v>
      </c>
      <c r="E120" s="439">
        <v>0</v>
      </c>
      <c r="F120" s="439">
        <v>0</v>
      </c>
      <c r="G120" s="439">
        <v>0</v>
      </c>
      <c r="H120" s="439">
        <v>0</v>
      </c>
      <c r="I120" s="439">
        <v>0</v>
      </c>
    </row>
    <row r="121" spans="1:13">
      <c r="B121" s="74" t="s">
        <v>81</v>
      </c>
      <c r="C121" s="653">
        <v>0</v>
      </c>
      <c r="D121" s="439">
        <v>0</v>
      </c>
      <c r="E121" s="439">
        <v>0</v>
      </c>
      <c r="F121" s="439">
        <v>0</v>
      </c>
      <c r="G121" s="439">
        <v>0</v>
      </c>
      <c r="H121" s="439">
        <v>0</v>
      </c>
      <c r="I121" s="439">
        <v>0</v>
      </c>
    </row>
    <row r="122" spans="1:13" s="362" customFormat="1">
      <c r="B122" s="74" t="s">
        <v>69</v>
      </c>
      <c r="C122" s="653">
        <v>1.0249999999999999</v>
      </c>
      <c r="D122" s="439">
        <v>1.02508130663</v>
      </c>
      <c r="E122" s="437">
        <f>SUM(E117:E119)</f>
        <v>325.56510299999997</v>
      </c>
      <c r="F122" s="438">
        <f>SUM(F117:F119)</f>
        <v>199.63416799999999</v>
      </c>
      <c r="G122" s="437">
        <f>SUM(G117:G119)</f>
        <v>201.96106900000001</v>
      </c>
      <c r="H122" s="437">
        <f>SUM(H117:H119)</f>
        <v>179.048541</v>
      </c>
      <c r="I122" s="437">
        <f>SUM(I117:I119)</f>
        <v>388.54309200000006</v>
      </c>
      <c r="J122"/>
      <c r="K122"/>
      <c r="L122"/>
      <c r="M122"/>
    </row>
    <row r="123" spans="1:13" s="362" customFormat="1">
      <c r="B123" s="74" t="s">
        <v>82</v>
      </c>
      <c r="C123" s="653">
        <v>192.5</v>
      </c>
      <c r="D123" s="439">
        <v>426.62140054275602</v>
      </c>
      <c r="E123" s="440">
        <v>453.30626999999998</v>
      </c>
      <c r="F123" s="441">
        <v>480.36890199999999</v>
      </c>
      <c r="G123" s="440">
        <v>478.51743699999997</v>
      </c>
      <c r="H123" s="440">
        <v>443.87770999999998</v>
      </c>
      <c r="I123" s="440">
        <v>475.58890979999995</v>
      </c>
      <c r="J123"/>
      <c r="K123"/>
    </row>
    <row r="124" spans="1:13" s="362" customFormat="1" ht="16.5" thickBot="1">
      <c r="B124" s="386" t="s">
        <v>83</v>
      </c>
      <c r="C124" s="654">
        <v>6.4999999999999997E-4</v>
      </c>
      <c r="D124" s="571">
        <f t="shared" ref="D124:I124" si="3">669.999849/1000000</f>
        <v>6.6999984900000008E-4</v>
      </c>
      <c r="E124" s="569">
        <f t="shared" si="3"/>
        <v>6.6999984900000008E-4</v>
      </c>
      <c r="F124" s="570">
        <f t="shared" si="3"/>
        <v>6.6999984900000008E-4</v>
      </c>
      <c r="G124" s="569">
        <f t="shared" si="3"/>
        <v>6.6999984900000008E-4</v>
      </c>
      <c r="H124" s="569">
        <f t="shared" si="3"/>
        <v>6.6999984900000008E-4</v>
      </c>
      <c r="I124" s="569">
        <f t="shared" si="3"/>
        <v>6.6999984900000008E-4</v>
      </c>
      <c r="J124"/>
      <c r="K124"/>
    </row>
    <row r="125" spans="1:13" s="362" customFormat="1" ht="4.5" customHeight="1">
      <c r="D125" s="420"/>
      <c r="E125" s="420"/>
      <c r="J125"/>
      <c r="K125"/>
    </row>
    <row r="126" spans="1:13" s="362" customFormat="1" ht="16.5" thickBot="1">
      <c r="A126" s="363" t="s">
        <v>493</v>
      </c>
      <c r="D126" s="420"/>
      <c r="E126" s="420"/>
    </row>
    <row r="127" spans="1:13" s="362" customFormat="1" ht="28.5">
      <c r="B127" s="422" t="s">
        <v>84</v>
      </c>
      <c r="C127" s="305" t="s">
        <v>40</v>
      </c>
      <c r="D127" s="305" t="s">
        <v>41</v>
      </c>
      <c r="E127" s="305" t="s">
        <v>42</v>
      </c>
      <c r="F127" s="305" t="s">
        <v>78</v>
      </c>
      <c r="G127" s="305" t="s">
        <v>43</v>
      </c>
      <c r="H127" s="305" t="s">
        <v>44</v>
      </c>
      <c r="I127" s="305" t="s">
        <v>45</v>
      </c>
    </row>
    <row r="128" spans="1:13" s="362" customFormat="1" ht="28.5">
      <c r="B128" s="74" t="s">
        <v>79</v>
      </c>
      <c r="C128" s="649">
        <v>0.21396059000000001</v>
      </c>
      <c r="D128" s="439">
        <f>D119*0.001</f>
        <v>0.27148683906723603</v>
      </c>
      <c r="E128" s="437">
        <f>E119*0.001</f>
        <v>0.32556510299999997</v>
      </c>
      <c r="F128" s="438">
        <f t="shared" ref="F128:I128" si="4">F119*0.001</f>
        <v>0.199634168</v>
      </c>
      <c r="G128" s="437">
        <f t="shared" si="4"/>
        <v>0.20196106900000002</v>
      </c>
      <c r="H128" s="437">
        <f t="shared" si="4"/>
        <v>0.17904854100000001</v>
      </c>
      <c r="I128" s="437">
        <f t="shared" si="4"/>
        <v>0.38854309200000009</v>
      </c>
    </row>
    <row r="129" spans="1:13" s="362" customFormat="1">
      <c r="B129" s="74" t="s">
        <v>80</v>
      </c>
      <c r="C129" s="650">
        <v>0</v>
      </c>
      <c r="D129" s="439">
        <f t="shared" ref="D129" si="5">D120*0.001</f>
        <v>0</v>
      </c>
      <c r="E129" s="439">
        <f t="shared" ref="E129:I133" si="6">E120*0.001</f>
        <v>0</v>
      </c>
      <c r="F129" s="439">
        <f t="shared" si="6"/>
        <v>0</v>
      </c>
      <c r="G129" s="439">
        <f t="shared" si="6"/>
        <v>0</v>
      </c>
      <c r="H129" s="439">
        <f t="shared" si="6"/>
        <v>0</v>
      </c>
      <c r="I129" s="439">
        <f t="shared" si="6"/>
        <v>0</v>
      </c>
    </row>
    <row r="130" spans="1:13" s="362" customFormat="1">
      <c r="B130" s="74" t="s">
        <v>81</v>
      </c>
      <c r="C130" s="650">
        <v>0</v>
      </c>
      <c r="D130" s="439">
        <f t="shared" ref="D130" si="7">D121*0.001</f>
        <v>0</v>
      </c>
      <c r="E130" s="439">
        <f t="shared" si="6"/>
        <v>0</v>
      </c>
      <c r="F130" s="439">
        <f t="shared" si="6"/>
        <v>0</v>
      </c>
      <c r="G130" s="439">
        <f t="shared" si="6"/>
        <v>0</v>
      </c>
      <c r="H130" s="439">
        <f t="shared" si="6"/>
        <v>0</v>
      </c>
      <c r="I130" s="439">
        <f t="shared" si="6"/>
        <v>0</v>
      </c>
    </row>
    <row r="131" spans="1:13" s="362" customFormat="1">
      <c r="B131" s="74" t="s">
        <v>69</v>
      </c>
      <c r="C131" s="650">
        <v>1.0249999999999999E-3</v>
      </c>
      <c r="D131" s="439">
        <f t="shared" ref="D131" si="8">D122*0.001</f>
        <v>1.02508130663E-3</v>
      </c>
      <c r="E131" s="437">
        <f t="shared" si="6"/>
        <v>0.32556510299999997</v>
      </c>
      <c r="F131" s="438">
        <f t="shared" si="6"/>
        <v>0.199634168</v>
      </c>
      <c r="G131" s="437">
        <f t="shared" si="6"/>
        <v>0.20196106900000002</v>
      </c>
      <c r="H131" s="437">
        <f t="shared" si="6"/>
        <v>0.17904854100000001</v>
      </c>
      <c r="I131" s="437">
        <f t="shared" si="6"/>
        <v>0.38854309200000009</v>
      </c>
    </row>
    <row r="132" spans="1:13" s="362" customFormat="1">
      <c r="B132" s="74" t="s">
        <v>82</v>
      </c>
      <c r="C132" s="650">
        <v>0.1925</v>
      </c>
      <c r="D132" s="439">
        <f t="shared" ref="D132" si="9">D123*0.001</f>
        <v>0.42662140054275605</v>
      </c>
      <c r="E132" s="440">
        <f t="shared" si="6"/>
        <v>0.45330627000000001</v>
      </c>
      <c r="F132" s="441">
        <f t="shared" si="6"/>
        <v>0.48036890199999999</v>
      </c>
      <c r="G132" s="440">
        <f t="shared" si="6"/>
        <v>0.47851743699999999</v>
      </c>
      <c r="H132" s="440">
        <f t="shared" si="6"/>
        <v>0.44387770999999998</v>
      </c>
      <c r="I132" s="440">
        <f t="shared" si="6"/>
        <v>0.47558890979999996</v>
      </c>
    </row>
    <row r="133" spans="1:13" s="362" customFormat="1" ht="16.5" thickBot="1">
      <c r="B133" s="386" t="s">
        <v>83</v>
      </c>
      <c r="C133" s="651">
        <v>6.5000000000000002E-7</v>
      </c>
      <c r="D133" s="572">
        <f t="shared" ref="D133" si="10">D124*0.001</f>
        <v>6.6999984900000013E-7</v>
      </c>
      <c r="E133" s="427">
        <f t="shared" si="6"/>
        <v>6.6999984900000013E-7</v>
      </c>
      <c r="F133" s="428">
        <f t="shared" si="6"/>
        <v>6.6999984900000013E-7</v>
      </c>
      <c r="G133" s="427">
        <f t="shared" si="6"/>
        <v>6.6999984900000013E-7</v>
      </c>
      <c r="H133" s="427">
        <f t="shared" si="6"/>
        <v>6.6999984900000013E-7</v>
      </c>
      <c r="I133" s="427">
        <f t="shared" si="6"/>
        <v>6.6999984900000013E-7</v>
      </c>
    </row>
    <row r="134" spans="1:13" s="362" customFormat="1" ht="5.25" customHeight="1">
      <c r="D134" s="420"/>
      <c r="E134" s="420"/>
    </row>
    <row r="135" spans="1:13" s="362" customFormat="1" ht="16.5" thickBot="1">
      <c r="A135" s="362" t="s">
        <v>38</v>
      </c>
      <c r="D135" s="420"/>
      <c r="E135" s="420"/>
    </row>
    <row r="136" spans="1:13" s="362" customFormat="1">
      <c r="B136" s="306" t="s">
        <v>85</v>
      </c>
      <c r="C136" s="305" t="s">
        <v>40</v>
      </c>
      <c r="D136" s="306" t="s">
        <v>41</v>
      </c>
      <c r="E136" s="306" t="s">
        <v>42</v>
      </c>
      <c r="F136" s="306" t="s">
        <v>43</v>
      </c>
    </row>
    <row r="137" spans="1:13" s="362" customFormat="1">
      <c r="B137" s="72" t="s">
        <v>86</v>
      </c>
      <c r="C137" s="699">
        <v>0.2</v>
      </c>
      <c r="D137" s="566">
        <v>0.2</v>
      </c>
      <c r="E137" s="445">
        <v>0.18</v>
      </c>
      <c r="F137" s="448">
        <v>0.36</v>
      </c>
    </row>
    <row r="138" spans="1:13" s="362" customFormat="1">
      <c r="B138" s="72" t="s">
        <v>87</v>
      </c>
      <c r="C138" s="699">
        <v>0.08</v>
      </c>
      <c r="D138" s="446">
        <v>0.14000000000000001</v>
      </c>
      <c r="E138" s="446">
        <v>0.19</v>
      </c>
      <c r="F138" s="448">
        <v>0.25</v>
      </c>
    </row>
    <row r="139" spans="1:13" s="362" customFormat="1">
      <c r="B139" s="72" t="s">
        <v>88</v>
      </c>
      <c r="C139" s="699">
        <v>0.12</v>
      </c>
      <c r="D139" s="446">
        <v>0.18</v>
      </c>
      <c r="E139" s="446">
        <v>0.16</v>
      </c>
      <c r="F139" s="448">
        <v>0.1</v>
      </c>
    </row>
    <row r="140" spans="1:13" s="362" customFormat="1">
      <c r="B140" s="72" t="s">
        <v>89</v>
      </c>
      <c r="C140" s="699">
        <v>0.39</v>
      </c>
      <c r="D140" s="446">
        <v>0.41</v>
      </c>
      <c r="E140" s="446">
        <v>0.39</v>
      </c>
      <c r="F140" s="448">
        <v>0.21</v>
      </c>
    </row>
    <row r="141" spans="1:13" s="362" customFormat="1" ht="16.5" thickBot="1">
      <c r="B141" s="103" t="s">
        <v>90</v>
      </c>
      <c r="C141" s="700">
        <v>0.2</v>
      </c>
      <c r="D141" s="447">
        <v>7.0000000000000007E-2</v>
      </c>
      <c r="E141" s="447">
        <v>0.08</v>
      </c>
      <c r="F141" s="449">
        <v>0.08</v>
      </c>
      <c r="M141" s="63" t="s">
        <v>60</v>
      </c>
    </row>
    <row r="142" spans="1:13" ht="4.5" customHeight="1">
      <c r="B142" s="442"/>
      <c r="C142" s="442"/>
      <c r="D142" s="443"/>
      <c r="E142" s="444"/>
      <c r="F142" s="444"/>
      <c r="G142" s="444"/>
      <c r="H142" s="444"/>
      <c r="I142" s="444"/>
    </row>
    <row r="143" spans="1:13" s="265" customFormat="1" ht="17.25">
      <c r="B143" s="304" t="s">
        <v>6</v>
      </c>
      <c r="C143" s="304"/>
    </row>
    <row r="144" spans="1:13" ht="5.25" customHeight="1"/>
    <row r="145" spans="1:12" ht="16.5" thickBot="1">
      <c r="A145" s="63" t="s">
        <v>491</v>
      </c>
      <c r="E145" s="363"/>
    </row>
    <row r="146" spans="1:12" ht="27" customHeight="1" thickBot="1">
      <c r="B146" s="664" t="s">
        <v>91</v>
      </c>
      <c r="C146" s="664" t="s">
        <v>50</v>
      </c>
      <c r="D146" s="666" t="s">
        <v>92</v>
      </c>
      <c r="E146" s="666"/>
      <c r="F146" s="666" t="s">
        <v>93</v>
      </c>
      <c r="G146" s="666"/>
      <c r="H146" s="666" t="s">
        <v>460</v>
      </c>
      <c r="I146" s="666"/>
      <c r="J146" s="667" t="s">
        <v>461</v>
      </c>
      <c r="K146" s="667"/>
      <c r="L146" s="527"/>
    </row>
    <row r="147" spans="1:12" ht="16.5" thickBot="1">
      <c r="B147" s="665"/>
      <c r="C147" s="665"/>
      <c r="D147" s="307" t="s">
        <v>94</v>
      </c>
      <c r="E147" s="307" t="s">
        <v>95</v>
      </c>
      <c r="F147" s="307" t="s">
        <v>94</v>
      </c>
      <c r="G147" s="307" t="s">
        <v>95</v>
      </c>
      <c r="H147" s="307" t="s">
        <v>94</v>
      </c>
      <c r="I147" s="401" t="s">
        <v>95</v>
      </c>
      <c r="J147" s="401" t="s">
        <v>94</v>
      </c>
      <c r="K147" s="401" t="s">
        <v>95</v>
      </c>
    </row>
    <row r="148" spans="1:12">
      <c r="B148" s="453" t="s">
        <v>40</v>
      </c>
      <c r="C148" s="453" t="s">
        <v>96</v>
      </c>
      <c r="D148" s="509">
        <v>32.682000000000002</v>
      </c>
      <c r="E148" s="634">
        <v>771.88126139999997</v>
      </c>
      <c r="F148" s="509">
        <v>32.682000000000002</v>
      </c>
      <c r="G148" s="509">
        <v>534.44000000000005</v>
      </c>
      <c r="H148" s="509">
        <v>16.407</v>
      </c>
      <c r="I148" s="509">
        <v>237.44399999999999</v>
      </c>
      <c r="J148" s="509">
        <v>0</v>
      </c>
      <c r="K148" s="509">
        <v>237.44399999999999</v>
      </c>
    </row>
    <row r="149" spans="1:12">
      <c r="B149" s="453"/>
      <c r="C149" s="454" t="s">
        <v>46</v>
      </c>
      <c r="D149" s="510">
        <v>15.513999999999999</v>
      </c>
      <c r="E149" s="635">
        <v>350.77</v>
      </c>
      <c r="F149" s="510">
        <v>15.513999999999999</v>
      </c>
      <c r="G149" s="510">
        <v>254.65</v>
      </c>
      <c r="H149" s="510">
        <v>6.3659999999999997</v>
      </c>
      <c r="I149" s="510">
        <v>96.12</v>
      </c>
      <c r="J149" s="510">
        <v>0</v>
      </c>
      <c r="K149" s="510">
        <v>96.12</v>
      </c>
    </row>
    <row r="150" spans="1:12">
      <c r="B150" s="20"/>
      <c r="C150" s="17" t="s">
        <v>48</v>
      </c>
      <c r="D150" s="510">
        <v>7.1639999999999997</v>
      </c>
      <c r="E150" s="635">
        <v>179.53</v>
      </c>
      <c r="F150" s="510">
        <v>7.1639999999999997</v>
      </c>
      <c r="G150" s="510">
        <v>118.71</v>
      </c>
      <c r="H150" s="510">
        <v>3.6589999999999998</v>
      </c>
      <c r="I150" s="510">
        <v>60.819000000000003</v>
      </c>
      <c r="J150" s="510">
        <v>0</v>
      </c>
      <c r="K150" s="510">
        <v>60.819000000000003</v>
      </c>
    </row>
    <row r="151" spans="1:12">
      <c r="B151" s="22"/>
      <c r="C151" s="22" t="s">
        <v>47</v>
      </c>
      <c r="D151" s="511">
        <v>10.004</v>
      </c>
      <c r="E151" s="636">
        <v>241.59</v>
      </c>
      <c r="F151" s="511">
        <v>10.004</v>
      </c>
      <c r="G151" s="511">
        <v>161.08000000000001</v>
      </c>
      <c r="H151" s="511">
        <v>6.383</v>
      </c>
      <c r="I151" s="511">
        <v>80.506</v>
      </c>
      <c r="J151" s="511">
        <v>0</v>
      </c>
      <c r="K151" s="511">
        <v>80.506</v>
      </c>
    </row>
    <row r="152" spans="1:12">
      <c r="B152" s="453" t="s">
        <v>41</v>
      </c>
      <c r="C152" s="453" t="s">
        <v>96</v>
      </c>
      <c r="D152" s="509">
        <f t="shared" ref="D152:E155" si="11">F152+J152</f>
        <v>35.545999999999999</v>
      </c>
      <c r="E152" s="509">
        <f t="shared" si="11"/>
        <v>775.42</v>
      </c>
      <c r="F152" s="509">
        <f t="shared" ref="F152:K152" si="12">SUM(F153:F155)</f>
        <v>31.747999999999998</v>
      </c>
      <c r="G152" s="509">
        <f t="shared" si="12"/>
        <v>523.54999999999995</v>
      </c>
      <c r="H152" s="509">
        <f t="shared" si="12"/>
        <v>5.2630000000000008</v>
      </c>
      <c r="I152" s="509">
        <f t="shared" si="12"/>
        <v>251.87</v>
      </c>
      <c r="J152" s="509">
        <f t="shared" si="12"/>
        <v>3.798</v>
      </c>
      <c r="K152" s="509">
        <f t="shared" si="12"/>
        <v>251.87</v>
      </c>
    </row>
    <row r="153" spans="1:12">
      <c r="B153" s="453"/>
      <c r="C153" s="454" t="s">
        <v>46</v>
      </c>
      <c r="D153" s="510">
        <f t="shared" si="11"/>
        <v>13.558</v>
      </c>
      <c r="E153" s="510">
        <f t="shared" si="11"/>
        <v>333.64</v>
      </c>
      <c r="F153" s="510">
        <v>13.558</v>
      </c>
      <c r="G153" s="510">
        <v>227.46</v>
      </c>
      <c r="H153" s="510">
        <v>-2.8000000000000001E-2</v>
      </c>
      <c r="I153" s="510">
        <v>106.18</v>
      </c>
      <c r="J153" s="510">
        <v>0</v>
      </c>
      <c r="K153" s="510">
        <v>106.18</v>
      </c>
    </row>
    <row r="154" spans="1:12">
      <c r="B154" s="453"/>
      <c r="C154" s="454" t="s">
        <v>48</v>
      </c>
      <c r="D154" s="510">
        <f t="shared" si="11"/>
        <v>10.762</v>
      </c>
      <c r="E154" s="510">
        <f t="shared" si="11"/>
        <v>177.78</v>
      </c>
      <c r="F154" s="510">
        <v>6.9640000000000004</v>
      </c>
      <c r="G154" s="510">
        <v>116.09</v>
      </c>
      <c r="H154" s="510">
        <v>5.2910000000000004</v>
      </c>
      <c r="I154" s="510">
        <v>61.69</v>
      </c>
      <c r="J154" s="510">
        <v>3.798</v>
      </c>
      <c r="K154" s="510">
        <v>61.69</v>
      </c>
    </row>
    <row r="155" spans="1:12" ht="16.5" thickBot="1">
      <c r="B155" s="453"/>
      <c r="C155" s="454" t="s">
        <v>47</v>
      </c>
      <c r="D155" s="511">
        <f t="shared" si="11"/>
        <v>11.226000000000001</v>
      </c>
      <c r="E155" s="511">
        <f t="shared" si="11"/>
        <v>264</v>
      </c>
      <c r="F155" s="511">
        <v>11.226000000000001</v>
      </c>
      <c r="G155" s="511">
        <v>180</v>
      </c>
      <c r="H155" s="511">
        <v>0</v>
      </c>
      <c r="I155" s="511">
        <v>84</v>
      </c>
      <c r="J155" s="511">
        <v>0</v>
      </c>
      <c r="K155" s="511">
        <v>84</v>
      </c>
    </row>
    <row r="156" spans="1:12">
      <c r="B156" s="21" t="s">
        <v>42</v>
      </c>
      <c r="C156" s="21" t="s">
        <v>96</v>
      </c>
      <c r="D156" s="392">
        <f>F156+J156</f>
        <v>42.36</v>
      </c>
      <c r="E156" s="392">
        <f>E157+E161+E162</f>
        <v>771.67293999999993</v>
      </c>
      <c r="F156" s="392">
        <v>29.41</v>
      </c>
      <c r="G156" s="392">
        <v>491.91</v>
      </c>
      <c r="H156" s="392">
        <v>30.84</v>
      </c>
      <c r="I156" s="393">
        <v>279.76</v>
      </c>
      <c r="J156" s="393">
        <v>12.95</v>
      </c>
      <c r="K156" s="452">
        <f t="shared" ref="K156:K190" si="13">I156</f>
        <v>279.76</v>
      </c>
    </row>
    <row r="157" spans="1:12">
      <c r="B157" s="20"/>
      <c r="C157" s="20" t="s">
        <v>97</v>
      </c>
      <c r="D157" s="393">
        <f t="shared" ref="D157:D162" si="14">F157+J157</f>
        <v>39.46</v>
      </c>
      <c r="E157" s="393">
        <f>SUM(E158:E160)</f>
        <v>732.55395999999996</v>
      </c>
      <c r="F157" s="393">
        <v>28.24</v>
      </c>
      <c r="G157" s="393">
        <v>470.12</v>
      </c>
      <c r="H157" s="393">
        <v>28.44</v>
      </c>
      <c r="I157" s="393">
        <v>262.44</v>
      </c>
      <c r="J157" s="393">
        <v>11.22</v>
      </c>
      <c r="K157" s="452">
        <f t="shared" si="13"/>
        <v>262.44</v>
      </c>
    </row>
    <row r="158" spans="1:12">
      <c r="B158" s="20"/>
      <c r="C158" s="17" t="s">
        <v>98</v>
      </c>
      <c r="D158" s="394">
        <f t="shared" si="14"/>
        <v>12.16874</v>
      </c>
      <c r="E158" s="394">
        <f>G158+I158</f>
        <v>316.94885999999997</v>
      </c>
      <c r="F158" s="394">
        <v>12.41</v>
      </c>
      <c r="G158" s="394">
        <v>213.62441999999999</v>
      </c>
      <c r="H158" s="394">
        <v>7.9092599999999997</v>
      </c>
      <c r="I158" s="394">
        <v>103.32444</v>
      </c>
      <c r="J158" s="394">
        <v>-0.24126</v>
      </c>
      <c r="K158" s="182">
        <f t="shared" si="13"/>
        <v>103.32444</v>
      </c>
    </row>
    <row r="159" spans="1:12">
      <c r="B159" s="20"/>
      <c r="C159" s="17" t="s">
        <v>99</v>
      </c>
      <c r="D159" s="394">
        <f t="shared" si="14"/>
        <v>15.087759999999999</v>
      </c>
      <c r="E159" s="394">
        <f t="shared" ref="E159:E162" si="15">G159+I159</f>
        <v>141.11321000000001</v>
      </c>
      <c r="F159" s="394">
        <v>4.87</v>
      </c>
      <c r="G159" s="394">
        <v>81.072720000000004</v>
      </c>
      <c r="H159" s="394">
        <v>10.21776</v>
      </c>
      <c r="I159" s="394">
        <v>60.040489999999998</v>
      </c>
      <c r="J159" s="394">
        <v>10.21776</v>
      </c>
      <c r="K159" s="182">
        <f t="shared" si="13"/>
        <v>60.040489999999998</v>
      </c>
    </row>
    <row r="160" spans="1:12">
      <c r="B160" s="20"/>
      <c r="C160" s="17" t="s">
        <v>100</v>
      </c>
      <c r="D160" s="394">
        <f t="shared" si="14"/>
        <v>12.206700000000001</v>
      </c>
      <c r="E160" s="394">
        <f t="shared" si="15"/>
        <v>274.49189000000001</v>
      </c>
      <c r="F160" s="394">
        <v>10.96</v>
      </c>
      <c r="G160" s="394">
        <v>175.41935000000001</v>
      </c>
      <c r="H160" s="394">
        <v>10.3123</v>
      </c>
      <c r="I160" s="394">
        <v>99.072540000000004</v>
      </c>
      <c r="J160" s="394">
        <v>1.2466999999999999</v>
      </c>
      <c r="K160" s="182">
        <f t="shared" si="13"/>
        <v>99.072540000000004</v>
      </c>
    </row>
    <row r="161" spans="2:11">
      <c r="B161" s="20"/>
      <c r="C161" s="17" t="s">
        <v>101</v>
      </c>
      <c r="D161" s="394">
        <f t="shared" si="14"/>
        <v>2.9188200000000002</v>
      </c>
      <c r="E161" s="394">
        <f t="shared" si="15"/>
        <v>33.249459999999999</v>
      </c>
      <c r="F161" s="394">
        <v>1.17</v>
      </c>
      <c r="G161" s="394">
        <v>21.79787</v>
      </c>
      <c r="H161" s="394">
        <v>1.74882</v>
      </c>
      <c r="I161" s="394">
        <v>11.451589999999999</v>
      </c>
      <c r="J161" s="394">
        <v>1.74882</v>
      </c>
      <c r="K161" s="182">
        <f t="shared" si="13"/>
        <v>11.451589999999999</v>
      </c>
    </row>
    <row r="162" spans="2:11" ht="16.5" thickBot="1">
      <c r="B162" s="20"/>
      <c r="C162" s="22" t="s">
        <v>102</v>
      </c>
      <c r="D162" s="395">
        <f t="shared" si="14"/>
        <v>-2.019E-2</v>
      </c>
      <c r="E162" s="395">
        <f t="shared" si="15"/>
        <v>5.8695199999999996</v>
      </c>
      <c r="F162" s="395">
        <v>0</v>
      </c>
      <c r="G162" s="395">
        <v>0</v>
      </c>
      <c r="H162" s="395">
        <v>0.64878999999999998</v>
      </c>
      <c r="I162" s="395">
        <v>5.8695199999999996</v>
      </c>
      <c r="J162" s="395">
        <v>-2.019E-2</v>
      </c>
      <c r="K162" s="183">
        <f t="shared" si="13"/>
        <v>5.8695199999999996</v>
      </c>
    </row>
    <row r="163" spans="2:11">
      <c r="B163" s="578" t="s">
        <v>464</v>
      </c>
      <c r="C163" s="574" t="s">
        <v>96</v>
      </c>
      <c r="D163" s="112">
        <f>SUM(D164,D168,D169)</f>
        <v>43.536999999999999</v>
      </c>
      <c r="E163" s="112">
        <f>SUM(E164,E168,E169)</f>
        <v>726.06000000000006</v>
      </c>
      <c r="F163" s="112">
        <f>SUM(F164,F168,F169)</f>
        <v>27.934999999999999</v>
      </c>
      <c r="G163" s="112">
        <f>SUM(G164,G168,G169)</f>
        <v>460.01</v>
      </c>
      <c r="H163" s="112">
        <f t="shared" ref="H163" si="16">SUM(H165:H169)</f>
        <v>30.257000000000001</v>
      </c>
      <c r="I163" s="112">
        <f>SUM(I164,I168,I169)</f>
        <v>253.45</v>
      </c>
      <c r="J163" s="112">
        <f t="shared" ref="J163" si="17">SUM(J165:J169)</f>
        <v>15.41</v>
      </c>
      <c r="K163" s="77">
        <f t="shared" si="13"/>
        <v>253.45</v>
      </c>
    </row>
    <row r="164" spans="2:11">
      <c r="B164" s="123"/>
      <c r="C164" s="575" t="s">
        <v>97</v>
      </c>
      <c r="D164" s="396">
        <f>SUM(D165:D167)</f>
        <v>41.164000000000001</v>
      </c>
      <c r="E164" s="396">
        <f>SUM(E165:E167)</f>
        <v>708.1400000000001</v>
      </c>
      <c r="F164" s="396">
        <f>SUM(F165:F167)</f>
        <v>27.625</v>
      </c>
      <c r="G164" s="396">
        <f>SUM(G165:G167)</f>
        <v>454.44</v>
      </c>
      <c r="H164" s="396">
        <f t="shared" ref="H164" si="18">SUM(H165:H167)</f>
        <v>28.41</v>
      </c>
      <c r="I164" s="396">
        <f>SUM(I165:I167)</f>
        <v>241.36</v>
      </c>
      <c r="J164" s="396">
        <f t="shared" ref="J164" si="19">SUM(J165:J167)</f>
        <v>13.563000000000001</v>
      </c>
      <c r="K164" s="78">
        <f t="shared" si="13"/>
        <v>241.36</v>
      </c>
    </row>
    <row r="165" spans="2:11">
      <c r="B165" s="123"/>
      <c r="C165" s="576" t="s">
        <v>98</v>
      </c>
      <c r="D165" s="397">
        <v>11.422000000000001</v>
      </c>
      <c r="E165" s="397">
        <v>290.16000000000003</v>
      </c>
      <c r="F165" s="397">
        <v>10.96</v>
      </c>
      <c r="G165" s="397">
        <v>190.75</v>
      </c>
      <c r="H165" s="397">
        <v>8.5419999999999998</v>
      </c>
      <c r="I165" s="397">
        <v>96.02</v>
      </c>
      <c r="J165" s="397">
        <v>-0.41499999999999998</v>
      </c>
      <c r="K165" s="79">
        <f t="shared" si="13"/>
        <v>96.02</v>
      </c>
    </row>
    <row r="166" spans="2:11">
      <c r="B166" s="123"/>
      <c r="C166" s="576" t="s">
        <v>99</v>
      </c>
      <c r="D166" s="397">
        <v>12.884</v>
      </c>
      <c r="E166" s="397">
        <v>270.24</v>
      </c>
      <c r="F166" s="397">
        <v>11.534000000000001</v>
      </c>
      <c r="G166" s="397">
        <v>179.4</v>
      </c>
      <c r="H166" s="397">
        <v>8.0039999999999996</v>
      </c>
      <c r="I166" s="397">
        <v>87.67</v>
      </c>
      <c r="J166" s="397">
        <v>2.1139999999999999</v>
      </c>
      <c r="K166" s="79">
        <f t="shared" si="13"/>
        <v>87.67</v>
      </c>
    </row>
    <row r="167" spans="2:11">
      <c r="B167" s="123"/>
      <c r="C167" s="576" t="s">
        <v>100</v>
      </c>
      <c r="D167" s="397">
        <v>16.858000000000001</v>
      </c>
      <c r="E167" s="397">
        <v>147.74</v>
      </c>
      <c r="F167" s="397">
        <v>5.1310000000000002</v>
      </c>
      <c r="G167" s="397">
        <v>84.29</v>
      </c>
      <c r="H167" s="397">
        <v>11.864000000000001</v>
      </c>
      <c r="I167" s="397">
        <v>57.67</v>
      </c>
      <c r="J167" s="397">
        <v>11.864000000000001</v>
      </c>
      <c r="K167" s="79">
        <f t="shared" si="13"/>
        <v>57.67</v>
      </c>
    </row>
    <row r="168" spans="2:11">
      <c r="B168" s="123"/>
      <c r="C168" s="576" t="s">
        <v>101</v>
      </c>
      <c r="D168" s="397">
        <v>1.3480000000000001</v>
      </c>
      <c r="E168" s="397">
        <v>9.5500000000000007</v>
      </c>
      <c r="F168" s="397">
        <v>0.31</v>
      </c>
      <c r="G168" s="397">
        <v>5.57</v>
      </c>
      <c r="H168" s="397">
        <v>0.878</v>
      </c>
      <c r="I168" s="397">
        <v>3.98</v>
      </c>
      <c r="J168" s="397">
        <v>0.878</v>
      </c>
      <c r="K168" s="79">
        <f t="shared" si="13"/>
        <v>3.98</v>
      </c>
    </row>
    <row r="169" spans="2:11" ht="16.5" thickBot="1">
      <c r="B169" s="73"/>
      <c r="C169" s="577" t="s">
        <v>102</v>
      </c>
      <c r="D169" s="398">
        <v>1.0249999999999999</v>
      </c>
      <c r="E169" s="398">
        <v>8.3699999999999992</v>
      </c>
      <c r="F169" s="398">
        <v>0</v>
      </c>
      <c r="G169" s="398">
        <v>0</v>
      </c>
      <c r="H169" s="398">
        <v>0.96899999999999997</v>
      </c>
      <c r="I169" s="398">
        <v>8.11</v>
      </c>
      <c r="J169" s="398">
        <v>0.96899999999999997</v>
      </c>
      <c r="K169" s="76">
        <f t="shared" si="13"/>
        <v>8.11</v>
      </c>
    </row>
    <row r="170" spans="2:11">
      <c r="B170" s="578" t="s">
        <v>443</v>
      </c>
      <c r="C170" s="574" t="s">
        <v>96</v>
      </c>
      <c r="D170" s="112">
        <f>SUM(D171,D175,D176)</f>
        <v>43.536999999999999</v>
      </c>
      <c r="E170" s="112">
        <f>SUM(E171,E175,E176)</f>
        <v>726.06000000000006</v>
      </c>
      <c r="F170" s="112">
        <f>SUM(F171,F175,F176)</f>
        <v>28.326511588350002</v>
      </c>
      <c r="G170" s="112">
        <f>SUM(G171,G175,G176)</f>
        <v>466.01</v>
      </c>
      <c r="H170" s="112">
        <f t="shared" ref="H170:J170" si="20">SUM(H172:H176)</f>
        <v>30.059536849649977</v>
      </c>
      <c r="I170" s="112">
        <f>SUM(I171,I175,I176)</f>
        <v>260.05182594909377</v>
      </c>
      <c r="J170" s="112">
        <f t="shared" si="20"/>
        <v>15.211399939649979</v>
      </c>
      <c r="K170" s="77">
        <f t="shared" si="13"/>
        <v>260.05182594909377</v>
      </c>
    </row>
    <row r="171" spans="2:11">
      <c r="B171" s="123"/>
      <c r="C171" s="575" t="s">
        <v>97</v>
      </c>
      <c r="D171" s="396">
        <f>SUM(D172:D174)</f>
        <v>41.164000000000001</v>
      </c>
      <c r="E171" s="396">
        <f>SUM(E172:E174)</f>
        <v>708.1400000000001</v>
      </c>
      <c r="F171" s="396">
        <f>SUM(F172:F174)</f>
        <v>27.86628572295</v>
      </c>
      <c r="G171" s="396">
        <f>SUM(G172:G174)</f>
        <v>460.44</v>
      </c>
      <c r="H171" s="396">
        <f t="shared" ref="H171:J171" si="21">SUM(H172:H174)</f>
        <v>28.14662330234998</v>
      </c>
      <c r="I171" s="396">
        <f>SUM(I172:I174)</f>
        <v>247.7018259490938</v>
      </c>
      <c r="J171" s="396">
        <f t="shared" si="21"/>
        <v>13.298486392349982</v>
      </c>
      <c r="K171" s="78">
        <f t="shared" si="13"/>
        <v>247.7018259490938</v>
      </c>
    </row>
    <row r="172" spans="2:11">
      <c r="B172" s="123"/>
      <c r="C172" s="576" t="s">
        <v>98</v>
      </c>
      <c r="D172" s="397">
        <v>11.422000000000001</v>
      </c>
      <c r="E172" s="397">
        <v>290.16000000000003</v>
      </c>
      <c r="F172" s="397">
        <v>11.681982017599999</v>
      </c>
      <c r="G172" s="397">
        <v>192.35</v>
      </c>
      <c r="H172" s="397">
        <v>8.6979123230999988</v>
      </c>
      <c r="I172" s="397">
        <v>97.801980735739647</v>
      </c>
      <c r="J172" s="397">
        <v>-0.25980498690000292</v>
      </c>
      <c r="K172" s="79">
        <f t="shared" si="13"/>
        <v>97.801980735739647</v>
      </c>
    </row>
    <row r="173" spans="2:11">
      <c r="B173" s="123"/>
      <c r="C173" s="576" t="s">
        <v>99</v>
      </c>
      <c r="D173" s="397">
        <v>12.884</v>
      </c>
      <c r="E173" s="397">
        <v>270.24</v>
      </c>
      <c r="F173" s="397">
        <v>10.926435371</v>
      </c>
      <c r="G173" s="397">
        <v>179.96</v>
      </c>
      <c r="H173" s="397">
        <v>7.8483579908999932</v>
      </c>
      <c r="I173" s="397">
        <v>90.27984521335415</v>
      </c>
      <c r="J173" s="397">
        <v>1.9579383908999946</v>
      </c>
      <c r="K173" s="79">
        <f t="shared" si="13"/>
        <v>90.27984521335415</v>
      </c>
    </row>
    <row r="174" spans="2:11">
      <c r="B174" s="123"/>
      <c r="C174" s="576" t="s">
        <v>100</v>
      </c>
      <c r="D174" s="397">
        <v>16.858000000000001</v>
      </c>
      <c r="E174" s="397">
        <v>147.74</v>
      </c>
      <c r="F174" s="397">
        <v>5.2578683343500003</v>
      </c>
      <c r="G174" s="397">
        <v>88.13</v>
      </c>
      <c r="H174" s="397">
        <v>11.600352988349989</v>
      </c>
      <c r="I174" s="397">
        <v>59.62</v>
      </c>
      <c r="J174" s="397">
        <v>11.600352988349991</v>
      </c>
      <c r="K174" s="79">
        <f t="shared" si="13"/>
        <v>59.62</v>
      </c>
    </row>
    <row r="175" spans="2:11">
      <c r="B175" s="123"/>
      <c r="C175" s="576" t="s">
        <v>101</v>
      </c>
      <c r="D175" s="397">
        <v>1.3480000000000001</v>
      </c>
      <c r="E175" s="397">
        <v>9.5500000000000007</v>
      </c>
      <c r="F175" s="397">
        <v>0.46022586539999999</v>
      </c>
      <c r="G175" s="397">
        <v>5.57</v>
      </c>
      <c r="H175" s="397">
        <v>0.88742012519999935</v>
      </c>
      <c r="I175" s="397">
        <v>3.98</v>
      </c>
      <c r="J175" s="397">
        <v>0.88742012519999935</v>
      </c>
      <c r="K175" s="79">
        <f t="shared" si="13"/>
        <v>3.98</v>
      </c>
    </row>
    <row r="176" spans="2:11" ht="16.5" thickBot="1">
      <c r="B176" s="73"/>
      <c r="C176" s="577" t="s">
        <v>102</v>
      </c>
      <c r="D176" s="398">
        <v>1.0249999999999999</v>
      </c>
      <c r="E176" s="398">
        <v>8.3699999999999992</v>
      </c>
      <c r="F176" s="398">
        <v>0</v>
      </c>
      <c r="G176" s="398">
        <v>0</v>
      </c>
      <c r="H176" s="398">
        <v>1.0254934220999994</v>
      </c>
      <c r="I176" s="398">
        <v>8.3699999999999992</v>
      </c>
      <c r="J176" s="398">
        <v>1.0254934220999994</v>
      </c>
      <c r="K176" s="76">
        <f t="shared" si="13"/>
        <v>8.3699999999999992</v>
      </c>
    </row>
    <row r="177" spans="1:11">
      <c r="B177" s="20" t="s">
        <v>103</v>
      </c>
      <c r="C177" s="21" t="s">
        <v>96</v>
      </c>
      <c r="D177" s="399">
        <f t="shared" ref="D177:J177" si="22">SUM(D179:D183)</f>
        <v>48.890000000000008</v>
      </c>
      <c r="E177" s="399">
        <f t="shared" si="22"/>
        <v>436.26000000000005</v>
      </c>
      <c r="F177" s="399">
        <f t="shared" si="22"/>
        <v>26.651</v>
      </c>
      <c r="G177" s="399">
        <f t="shared" si="22"/>
        <v>168.78</v>
      </c>
      <c r="H177" s="399">
        <f t="shared" si="22"/>
        <v>32.795999999999999</v>
      </c>
      <c r="I177" s="399">
        <f t="shared" si="22"/>
        <v>267.5</v>
      </c>
      <c r="J177" s="399">
        <f t="shared" si="22"/>
        <v>32.795999999999999</v>
      </c>
      <c r="K177" s="31">
        <f t="shared" si="13"/>
        <v>267.5</v>
      </c>
    </row>
    <row r="178" spans="1:11">
      <c r="B178" s="20" t="s">
        <v>104</v>
      </c>
      <c r="C178" s="20" t="s">
        <v>97</v>
      </c>
      <c r="D178" s="400">
        <f t="shared" ref="D178:J178" si="23">SUM(D179:D181)</f>
        <v>45.628000000000007</v>
      </c>
      <c r="E178" s="400">
        <f t="shared" si="23"/>
        <v>413.23</v>
      </c>
      <c r="F178" s="400">
        <f t="shared" si="23"/>
        <v>26.146999999999998</v>
      </c>
      <c r="G178" s="400">
        <f t="shared" si="23"/>
        <v>163.68</v>
      </c>
      <c r="H178" s="400">
        <f t="shared" si="23"/>
        <v>30.038</v>
      </c>
      <c r="I178" s="400">
        <f t="shared" si="23"/>
        <v>249.57</v>
      </c>
      <c r="J178" s="400">
        <f t="shared" si="23"/>
        <v>30.038</v>
      </c>
      <c r="K178" s="32">
        <f t="shared" si="13"/>
        <v>249.57</v>
      </c>
    </row>
    <row r="179" spans="1:11">
      <c r="B179" s="20"/>
      <c r="C179" s="17" t="s">
        <v>98</v>
      </c>
      <c r="D179" s="394">
        <f>7.683+0.386</f>
        <v>8.0689999999999991</v>
      </c>
      <c r="E179" s="394">
        <f>186.06+3.03</f>
        <v>189.09</v>
      </c>
      <c r="F179" s="394">
        <v>9.1300000000000008</v>
      </c>
      <c r="G179" s="394">
        <v>93.55</v>
      </c>
      <c r="H179" s="394">
        <f>0.341+8.708+0.017+0.435</f>
        <v>9.5009999999999994</v>
      </c>
      <c r="I179" s="394">
        <f>92.97+2.57</f>
        <v>95.539999999999992</v>
      </c>
      <c r="J179" s="394">
        <f>H179+(F458/1000)</f>
        <v>9.5009999999999994</v>
      </c>
      <c r="K179" s="182">
        <f t="shared" si="13"/>
        <v>95.539999999999992</v>
      </c>
    </row>
    <row r="180" spans="1:11">
      <c r="B180" s="20"/>
      <c r="C180" s="17" t="s">
        <v>99</v>
      </c>
      <c r="D180" s="394">
        <f>17.344+1.199+0.103+0.277</f>
        <v>18.923000000000005</v>
      </c>
      <c r="E180" s="394">
        <f>111.55+26.19+2.39+4.11</f>
        <v>144.24</v>
      </c>
      <c r="F180" s="394">
        <v>12.186999999999999</v>
      </c>
      <c r="G180" s="394">
        <v>56.29</v>
      </c>
      <c r="H180" s="394">
        <v>6.7350000000000003</v>
      </c>
      <c r="I180" s="394">
        <v>87.95</v>
      </c>
      <c r="J180" s="394">
        <f>H180</f>
        <v>6.7350000000000003</v>
      </c>
      <c r="K180" s="182">
        <f t="shared" si="13"/>
        <v>87.95</v>
      </c>
    </row>
    <row r="181" spans="1:11">
      <c r="B181" s="20"/>
      <c r="C181" s="17" t="s">
        <v>100</v>
      </c>
      <c r="D181" s="394">
        <f>17.85+0.786</f>
        <v>18.636000000000003</v>
      </c>
      <c r="E181" s="394">
        <f>78.08+1.82</f>
        <v>79.899999999999991</v>
      </c>
      <c r="F181" s="394">
        <v>4.83</v>
      </c>
      <c r="G181" s="394">
        <f>13.22+0.62</f>
        <v>13.84</v>
      </c>
      <c r="H181" s="394">
        <f>13.443+0.359</f>
        <v>13.802</v>
      </c>
      <c r="I181" s="394">
        <f>64.87+1.21</f>
        <v>66.08</v>
      </c>
      <c r="J181" s="394">
        <f>H181</f>
        <v>13.802</v>
      </c>
      <c r="K181" s="182">
        <f t="shared" si="13"/>
        <v>66.08</v>
      </c>
    </row>
    <row r="182" spans="1:11">
      <c r="B182" s="20"/>
      <c r="C182" s="17" t="s">
        <v>101</v>
      </c>
      <c r="D182" s="394">
        <v>2.0179999999999998</v>
      </c>
      <c r="E182" s="394">
        <v>13.43</v>
      </c>
      <c r="F182" s="394">
        <v>0.504</v>
      </c>
      <c r="G182" s="394">
        <v>5.0999999999999996</v>
      </c>
      <c r="H182" s="394">
        <v>1.514</v>
      </c>
      <c r="I182" s="394">
        <v>8.33</v>
      </c>
      <c r="J182" s="394">
        <f>H182</f>
        <v>1.514</v>
      </c>
      <c r="K182" s="182">
        <f t="shared" si="13"/>
        <v>8.33</v>
      </c>
    </row>
    <row r="183" spans="1:11" ht="16.5" thickBot="1">
      <c r="B183" s="20"/>
      <c r="C183" s="22" t="s">
        <v>102</v>
      </c>
      <c r="D183" s="395">
        <v>1.244</v>
      </c>
      <c r="E183" s="395">
        <v>9.6</v>
      </c>
      <c r="F183" s="395">
        <v>0</v>
      </c>
      <c r="G183" s="395">
        <v>0</v>
      </c>
      <c r="H183" s="395">
        <v>1.244</v>
      </c>
      <c r="I183" s="395">
        <v>9.6</v>
      </c>
      <c r="J183" s="394">
        <f>H183</f>
        <v>1.244</v>
      </c>
      <c r="K183" s="183">
        <f t="shared" si="13"/>
        <v>9.6</v>
      </c>
    </row>
    <row r="184" spans="1:11">
      <c r="B184" s="179" t="s">
        <v>103</v>
      </c>
      <c r="C184" s="574" t="s">
        <v>96</v>
      </c>
      <c r="D184" s="399">
        <f t="shared" ref="D184:J184" si="24">SUM(D186:D190)</f>
        <v>56.850000000000009</v>
      </c>
      <c r="E184" s="399">
        <f t="shared" si="24"/>
        <v>576.83000000000004</v>
      </c>
      <c r="F184" s="399">
        <f t="shared" si="24"/>
        <v>32.856999999999999</v>
      </c>
      <c r="G184" s="399">
        <f t="shared" si="24"/>
        <v>278.84000000000003</v>
      </c>
      <c r="H184" s="392">
        <f t="shared" si="24"/>
        <v>34.262999999999998</v>
      </c>
      <c r="I184" s="392">
        <f t="shared" si="24"/>
        <v>298.01</v>
      </c>
      <c r="J184" s="392">
        <f t="shared" si="24"/>
        <v>34.262999999999998</v>
      </c>
      <c r="K184" s="644">
        <f t="shared" si="13"/>
        <v>298.01</v>
      </c>
    </row>
    <row r="185" spans="1:11">
      <c r="B185" s="655" t="s">
        <v>466</v>
      </c>
      <c r="C185" s="575" t="s">
        <v>97</v>
      </c>
      <c r="D185" s="400">
        <f t="shared" ref="D185:J185" si="25">SUM(D186:D188)</f>
        <v>45.628000000000007</v>
      </c>
      <c r="E185" s="400">
        <f t="shared" si="25"/>
        <v>413.23</v>
      </c>
      <c r="F185" s="400">
        <f t="shared" si="25"/>
        <v>26.146999999999998</v>
      </c>
      <c r="G185" s="400">
        <f t="shared" si="25"/>
        <v>163.68</v>
      </c>
      <c r="H185" s="393">
        <f t="shared" si="25"/>
        <v>30.038</v>
      </c>
      <c r="I185" s="393">
        <f t="shared" si="25"/>
        <v>249.57</v>
      </c>
      <c r="J185" s="393">
        <f t="shared" si="25"/>
        <v>30.038</v>
      </c>
      <c r="K185" s="452">
        <f t="shared" si="13"/>
        <v>249.57</v>
      </c>
    </row>
    <row r="186" spans="1:11">
      <c r="B186" s="123"/>
      <c r="C186" s="576" t="s">
        <v>98</v>
      </c>
      <c r="D186" s="394">
        <f>D179</f>
        <v>8.0689999999999991</v>
      </c>
      <c r="E186" s="394">
        <f t="shared" ref="E186:J186" si="26">E179</f>
        <v>189.09</v>
      </c>
      <c r="F186" s="394">
        <f t="shared" si="26"/>
        <v>9.1300000000000008</v>
      </c>
      <c r="G186" s="394">
        <f t="shared" si="26"/>
        <v>93.55</v>
      </c>
      <c r="H186" s="394">
        <f t="shared" si="26"/>
        <v>9.5009999999999994</v>
      </c>
      <c r="I186" s="394">
        <f t="shared" si="26"/>
        <v>95.539999999999992</v>
      </c>
      <c r="J186" s="394">
        <f t="shared" si="26"/>
        <v>9.5009999999999994</v>
      </c>
      <c r="K186" s="182">
        <f t="shared" si="13"/>
        <v>95.539999999999992</v>
      </c>
    </row>
    <row r="187" spans="1:11">
      <c r="B187" s="123"/>
      <c r="C187" s="576" t="s">
        <v>99</v>
      </c>
      <c r="D187" s="394">
        <f t="shared" ref="D187:J188" si="27">D180</f>
        <v>18.923000000000005</v>
      </c>
      <c r="E187" s="394">
        <f t="shared" si="27"/>
        <v>144.24</v>
      </c>
      <c r="F187" s="394">
        <f t="shared" si="27"/>
        <v>12.186999999999999</v>
      </c>
      <c r="G187" s="394">
        <f t="shared" si="27"/>
        <v>56.29</v>
      </c>
      <c r="H187" s="394">
        <f t="shared" si="27"/>
        <v>6.7350000000000003</v>
      </c>
      <c r="I187" s="394">
        <f t="shared" si="27"/>
        <v>87.95</v>
      </c>
      <c r="J187" s="394">
        <f t="shared" si="27"/>
        <v>6.7350000000000003</v>
      </c>
      <c r="K187" s="182">
        <f t="shared" si="13"/>
        <v>87.95</v>
      </c>
    </row>
    <row r="188" spans="1:11">
      <c r="B188" s="123"/>
      <c r="C188" s="576" t="s">
        <v>100</v>
      </c>
      <c r="D188" s="394">
        <f t="shared" si="27"/>
        <v>18.636000000000003</v>
      </c>
      <c r="E188" s="394">
        <f t="shared" si="27"/>
        <v>79.899999999999991</v>
      </c>
      <c r="F188" s="394">
        <f t="shared" si="27"/>
        <v>4.83</v>
      </c>
      <c r="G188" s="394">
        <f t="shared" si="27"/>
        <v>13.84</v>
      </c>
      <c r="H188" s="394">
        <f t="shared" si="27"/>
        <v>13.802</v>
      </c>
      <c r="I188" s="394">
        <f t="shared" si="27"/>
        <v>66.08</v>
      </c>
      <c r="J188" s="394">
        <f t="shared" si="27"/>
        <v>13.802</v>
      </c>
      <c r="K188" s="182">
        <f t="shared" si="13"/>
        <v>66.08</v>
      </c>
    </row>
    <row r="189" spans="1:11">
      <c r="B189" s="123"/>
      <c r="C189" s="576" t="s">
        <v>101</v>
      </c>
      <c r="D189" s="394">
        <f>D182+7.96</f>
        <v>9.9779999999999998</v>
      </c>
      <c r="E189" s="394">
        <f>E182+140.57</f>
        <v>154</v>
      </c>
      <c r="F189" s="394">
        <f>F182+6.206</f>
        <v>6.7100000000000009</v>
      </c>
      <c r="G189" s="394">
        <f>G182+110.06</f>
        <v>115.16</v>
      </c>
      <c r="H189" s="645">
        <f>H182+1.467</f>
        <v>2.9809999999999999</v>
      </c>
      <c r="I189" s="645">
        <f>I182+30.51</f>
        <v>38.840000000000003</v>
      </c>
      <c r="J189" s="645">
        <f>H189</f>
        <v>2.9809999999999999</v>
      </c>
      <c r="K189" s="646">
        <f>I189</f>
        <v>38.840000000000003</v>
      </c>
    </row>
    <row r="190" spans="1:11" ht="16.5" thickBot="1">
      <c r="B190" s="73"/>
      <c r="C190" s="577" t="s">
        <v>102</v>
      </c>
      <c r="D190" s="395">
        <f>D183</f>
        <v>1.244</v>
      </c>
      <c r="E190" s="395">
        <f t="shared" ref="E190:J190" si="28">E183</f>
        <v>9.6</v>
      </c>
      <c r="F190" s="395">
        <f t="shared" si="28"/>
        <v>0</v>
      </c>
      <c r="G190" s="395">
        <f t="shared" si="28"/>
        <v>0</v>
      </c>
      <c r="H190" s="395">
        <f t="shared" si="28"/>
        <v>1.244</v>
      </c>
      <c r="I190" s="395">
        <f t="shared" si="28"/>
        <v>9.6</v>
      </c>
      <c r="J190" s="395">
        <f t="shared" si="28"/>
        <v>1.244</v>
      </c>
      <c r="K190" s="183">
        <f t="shared" si="13"/>
        <v>9.6</v>
      </c>
    </row>
    <row r="191" spans="1:11" ht="5.25" customHeight="1"/>
    <row r="192" spans="1:11" ht="16.5" thickBot="1">
      <c r="A192" s="363" t="s">
        <v>10</v>
      </c>
    </row>
    <row r="193" spans="1:8" ht="28.5">
      <c r="B193" s="579" t="s">
        <v>468</v>
      </c>
      <c r="C193" s="593" t="s">
        <v>40</v>
      </c>
      <c r="D193" s="593" t="s">
        <v>41</v>
      </c>
      <c r="E193" s="593" t="s">
        <v>105</v>
      </c>
      <c r="F193" s="593" t="s">
        <v>106</v>
      </c>
      <c r="G193" s="593" t="s">
        <v>43</v>
      </c>
      <c r="H193" s="350" t="s">
        <v>103</v>
      </c>
    </row>
    <row r="194" spans="1:8">
      <c r="B194" s="74" t="s">
        <v>107</v>
      </c>
      <c r="C194" s="364">
        <v>148437</v>
      </c>
      <c r="D194" s="364">
        <f>140197*1.05</f>
        <v>147206.85</v>
      </c>
      <c r="E194" s="364">
        <v>138112</v>
      </c>
      <c r="F194" s="364">
        <v>129479</v>
      </c>
      <c r="G194" s="262">
        <v>131145</v>
      </c>
      <c r="H194" s="262">
        <v>131218</v>
      </c>
    </row>
    <row r="195" spans="1:8">
      <c r="B195" s="74" t="s">
        <v>108</v>
      </c>
      <c r="C195" s="364">
        <v>0</v>
      </c>
      <c r="D195" s="364">
        <f>5907*1.05</f>
        <v>6202.35</v>
      </c>
      <c r="E195" s="364">
        <v>5052</v>
      </c>
      <c r="F195" s="364">
        <v>22349</v>
      </c>
      <c r="G195" s="262">
        <v>23310</v>
      </c>
      <c r="H195" s="262">
        <v>54814</v>
      </c>
    </row>
    <row r="196" spans="1:8" ht="26.25">
      <c r="B196" s="658" t="s">
        <v>471</v>
      </c>
      <c r="C196" s="364">
        <v>65974</v>
      </c>
      <c r="D196" s="364">
        <f>96377*1.05</f>
        <v>101195.85</v>
      </c>
      <c r="E196" s="364">
        <v>60463</v>
      </c>
      <c r="F196" s="364">
        <v>48690</v>
      </c>
      <c r="G196" s="364">
        <v>48940</v>
      </c>
      <c r="H196" s="364">
        <v>43201</v>
      </c>
    </row>
    <row r="197" spans="1:8" ht="28.5">
      <c r="B197" s="386" t="s">
        <v>109</v>
      </c>
      <c r="C197" s="512">
        <v>148437</v>
      </c>
      <c r="D197" s="512">
        <f>D194+D195</f>
        <v>153409.20000000001</v>
      </c>
      <c r="E197" s="365">
        <f>E194+E195</f>
        <v>143164</v>
      </c>
      <c r="F197" s="365">
        <f>F194+F195</f>
        <v>151828</v>
      </c>
      <c r="G197" s="263">
        <f t="shared" ref="G197:H197" si="29">G194+G195</f>
        <v>154455</v>
      </c>
      <c r="H197" s="263">
        <f t="shared" si="29"/>
        <v>186032</v>
      </c>
    </row>
    <row r="198" spans="1:8" ht="5.25" customHeight="1">
      <c r="D198" s="384"/>
      <c r="E198" s="384"/>
      <c r="F198" s="385"/>
      <c r="G198" s="385"/>
      <c r="H198" s="385"/>
    </row>
    <row r="199" spans="1:8">
      <c r="A199" s="363" t="s">
        <v>12</v>
      </c>
    </row>
    <row r="200" spans="1:8" ht="28.5">
      <c r="B200" s="305" t="s">
        <v>110</v>
      </c>
      <c r="C200" s="305" t="s">
        <v>40</v>
      </c>
      <c r="D200" s="305" t="s">
        <v>41</v>
      </c>
      <c r="E200" s="305" t="s">
        <v>105</v>
      </c>
      <c r="F200" s="305" t="s">
        <v>106</v>
      </c>
      <c r="G200" s="305" t="s">
        <v>43</v>
      </c>
      <c r="H200" s="305" t="s">
        <v>103</v>
      </c>
    </row>
    <row r="201" spans="1:8" ht="28.5">
      <c r="B201" s="72" t="s">
        <v>494</v>
      </c>
      <c r="C201" s="364">
        <v>771881</v>
      </c>
      <c r="D201" s="364">
        <v>775420</v>
      </c>
      <c r="E201" s="364">
        <v>771670</v>
      </c>
      <c r="F201" s="364"/>
      <c r="G201" s="364"/>
      <c r="H201" s="364"/>
    </row>
    <row r="202" spans="1:8" ht="28.5">
      <c r="B202" s="72" t="s">
        <v>111</v>
      </c>
      <c r="C202" s="364">
        <v>237507</v>
      </c>
      <c r="D202" s="364">
        <f>D196*0.0036*1000</f>
        <v>364305.06</v>
      </c>
      <c r="E202" s="364">
        <f>E196*0.0036*1000</f>
        <v>217666.8</v>
      </c>
      <c r="F202" s="364">
        <f t="shared" ref="F202:H202" si="30">F196*0.0036*1000</f>
        <v>175284</v>
      </c>
      <c r="G202" s="262">
        <f t="shared" si="30"/>
        <v>176184</v>
      </c>
      <c r="H202" s="262">
        <f t="shared" si="30"/>
        <v>155523.59999999998</v>
      </c>
    </row>
    <row r="203" spans="1:8" ht="28.5">
      <c r="B203" s="637" t="s">
        <v>112</v>
      </c>
      <c r="C203" s="364">
        <v>237444</v>
      </c>
      <c r="D203" s="364">
        <f>(21644+820+73898)*0.0036*1000</f>
        <v>346903.19999999995</v>
      </c>
      <c r="E203" s="364">
        <f>(37802+20944+624)*0.0036*1000</f>
        <v>213732</v>
      </c>
      <c r="F203" s="364">
        <f>(32424+14180+706)*0.0036*1000</f>
        <v>170316</v>
      </c>
      <c r="G203" s="262">
        <f>(32424+15009+706)*0.0036*1000</f>
        <v>173300.4</v>
      </c>
      <c r="H203" s="262">
        <f>(26613+15340+444)*0.0036*1000</f>
        <v>152629.20000000001</v>
      </c>
    </row>
    <row r="204" spans="1:8" ht="28.5">
      <c r="B204" s="638" t="s">
        <v>113</v>
      </c>
      <c r="C204" s="512">
        <v>237444</v>
      </c>
      <c r="D204" s="512">
        <f>(5907+21644+820+73898)*0.0036*1000</f>
        <v>368168.39999999997</v>
      </c>
      <c r="E204" s="365">
        <f>(2428+37802+20944+624)*0.0036*1000</f>
        <v>222472.80000000002</v>
      </c>
      <c r="F204" s="365">
        <f>(19741+32424+14180+706)*0.0036*1000</f>
        <v>241383.6</v>
      </c>
      <c r="G204" s="263">
        <f>(20656+32424+15009+706)*0.0036*1000</f>
        <v>247662</v>
      </c>
      <c r="H204" s="263">
        <f>(25591+26613+15340+444)*0.0036*1000</f>
        <v>244756.8</v>
      </c>
    </row>
    <row r="205" spans="1:8" ht="5.25" customHeight="1"/>
    <row r="206" spans="1:8" ht="16.5" thickBot="1">
      <c r="A206" s="363" t="s">
        <v>114</v>
      </c>
    </row>
    <row r="207" spans="1:8" ht="28.5">
      <c r="B207" s="580" t="s">
        <v>473</v>
      </c>
      <c r="C207" s="391" t="s">
        <v>40</v>
      </c>
      <c r="D207" s="391" t="s">
        <v>41</v>
      </c>
      <c r="E207" s="391" t="s">
        <v>42</v>
      </c>
      <c r="F207" s="391" t="s">
        <v>43</v>
      </c>
      <c r="G207" s="391" t="s">
        <v>115</v>
      </c>
      <c r="H207" s="391" t="s">
        <v>116</v>
      </c>
    </row>
    <row r="208" spans="1:8">
      <c r="B208" s="73" t="s">
        <v>96</v>
      </c>
      <c r="C208" s="389">
        <v>0.11799999999999999</v>
      </c>
      <c r="D208" s="389">
        <v>0.124</v>
      </c>
      <c r="E208" s="389">
        <v>0.14000000000000001</v>
      </c>
      <c r="F208" s="389">
        <v>0.16900000000000001</v>
      </c>
      <c r="G208" s="389">
        <v>0.21199999999999999</v>
      </c>
      <c r="H208" s="389">
        <v>0.27500000000000002</v>
      </c>
    </row>
    <row r="209" spans="1:8" ht="5.25" customHeight="1"/>
    <row r="210" spans="1:8" ht="16.5" thickBot="1">
      <c r="A210" s="363" t="s">
        <v>16</v>
      </c>
    </row>
    <row r="211" spans="1:8" ht="28.5">
      <c r="B211" s="305" t="s">
        <v>117</v>
      </c>
      <c r="C211" s="305" t="s">
        <v>40</v>
      </c>
      <c r="D211" s="305" t="s">
        <v>41</v>
      </c>
      <c r="E211" s="305" t="s">
        <v>42</v>
      </c>
      <c r="F211" s="305" t="s">
        <v>43</v>
      </c>
      <c r="G211" s="305" t="s">
        <v>44</v>
      </c>
      <c r="H211" s="305" t="s">
        <v>45</v>
      </c>
    </row>
    <row r="212" spans="1:8">
      <c r="B212" s="72" t="s">
        <v>118</v>
      </c>
      <c r="C212" s="461">
        <v>0</v>
      </c>
      <c r="D212" s="455">
        <v>0.12</v>
      </c>
      <c r="E212" s="455">
        <v>0.28999999999999998</v>
      </c>
      <c r="F212" s="457">
        <v>0.33472484774602418</v>
      </c>
      <c r="G212" s="459">
        <v>0.44</v>
      </c>
      <c r="H212" s="461" t="s">
        <v>119</v>
      </c>
    </row>
    <row r="213" spans="1:8">
      <c r="B213" s="72" t="s">
        <v>120</v>
      </c>
      <c r="C213" s="461">
        <v>0.28000000000000003</v>
      </c>
      <c r="D213" s="455">
        <v>0.28000000000000003</v>
      </c>
      <c r="E213" s="455">
        <v>0.2</v>
      </c>
      <c r="F213" s="457">
        <v>0.21926998463177463</v>
      </c>
      <c r="G213" s="459">
        <v>0.21</v>
      </c>
      <c r="H213" s="461" t="s">
        <v>119</v>
      </c>
    </row>
    <row r="214" spans="1:8">
      <c r="B214" s="72" t="s">
        <v>121</v>
      </c>
      <c r="C214" s="461">
        <v>0.23</v>
      </c>
      <c r="D214" s="455">
        <v>0.24</v>
      </c>
      <c r="E214" s="455">
        <v>0.23</v>
      </c>
      <c r="F214" s="457">
        <v>0.17454403136362037</v>
      </c>
      <c r="G214" s="459">
        <v>0.14000000000000001</v>
      </c>
      <c r="H214" s="461" t="s">
        <v>119</v>
      </c>
    </row>
    <row r="215" spans="1:8">
      <c r="B215" s="72" t="s">
        <v>122</v>
      </c>
      <c r="C215" s="461">
        <v>0.32</v>
      </c>
      <c r="D215" s="455">
        <v>0.28000000000000003</v>
      </c>
      <c r="E215" s="455">
        <v>0.23</v>
      </c>
      <c r="F215" s="457">
        <v>0.21456833306667233</v>
      </c>
      <c r="G215" s="459">
        <v>0.15</v>
      </c>
      <c r="H215" s="461" t="s">
        <v>119</v>
      </c>
    </row>
    <row r="216" spans="1:8">
      <c r="B216" s="72" t="s">
        <v>123</v>
      </c>
      <c r="C216" s="461">
        <v>0.17</v>
      </c>
      <c r="D216" s="455">
        <v>7.0000000000000007E-2</v>
      </c>
      <c r="E216" s="455">
        <v>0.05</v>
      </c>
      <c r="F216" s="457">
        <v>5.6096043362297461E-2</v>
      </c>
      <c r="G216" s="459">
        <v>0.06</v>
      </c>
      <c r="H216" s="461" t="s">
        <v>119</v>
      </c>
    </row>
    <row r="217" spans="1:8">
      <c r="B217" s="103" t="s">
        <v>124</v>
      </c>
      <c r="C217" s="627">
        <v>0</v>
      </c>
      <c r="D217" s="456">
        <v>0</v>
      </c>
      <c r="E217" s="456">
        <v>0</v>
      </c>
      <c r="F217" s="458">
        <v>7.9675982961108151E-4</v>
      </c>
      <c r="G217" s="460">
        <v>0</v>
      </c>
      <c r="H217" s="456" t="s">
        <v>119</v>
      </c>
    </row>
    <row r="218" spans="1:8" ht="5.25" customHeight="1"/>
    <row r="219" spans="1:8" ht="16.5" thickBot="1">
      <c r="A219" s="341" t="s">
        <v>475</v>
      </c>
      <c r="B219" s="462"/>
      <c r="C219" s="462"/>
    </row>
    <row r="220" spans="1:8" ht="28.5">
      <c r="B220" s="305" t="s">
        <v>125</v>
      </c>
      <c r="C220" s="426" t="s">
        <v>40</v>
      </c>
      <c r="D220" s="426" t="s">
        <v>41</v>
      </c>
      <c r="E220" s="581" t="s">
        <v>476</v>
      </c>
      <c r="F220" s="426" t="s">
        <v>43</v>
      </c>
      <c r="G220" s="305" t="s">
        <v>44</v>
      </c>
      <c r="H220" s="305" t="s">
        <v>45</v>
      </c>
    </row>
    <row r="221" spans="1:8">
      <c r="B221" s="72" t="s">
        <v>126</v>
      </c>
      <c r="C221" s="626">
        <v>97.870999999999995</v>
      </c>
      <c r="D221" s="534">
        <v>111.31325238524499</v>
      </c>
      <c r="E221" s="514">
        <v>97.373999999999995</v>
      </c>
      <c r="F221" s="515">
        <v>107.572</v>
      </c>
      <c r="G221" s="461" t="s">
        <v>119</v>
      </c>
      <c r="H221" s="461" t="s">
        <v>119</v>
      </c>
    </row>
    <row r="222" spans="1:8">
      <c r="B222" s="72" t="s">
        <v>127</v>
      </c>
      <c r="C222" s="626">
        <v>375.77800000000002</v>
      </c>
      <c r="D222" s="534">
        <v>407.25992093276398</v>
      </c>
      <c r="E222" s="514">
        <v>379.702</v>
      </c>
      <c r="F222" s="515">
        <v>362.61799999999999</v>
      </c>
      <c r="G222" s="461" t="s">
        <v>119</v>
      </c>
      <c r="H222" s="461" t="s">
        <v>119</v>
      </c>
    </row>
    <row r="223" spans="1:8">
      <c r="B223" s="72" t="s">
        <v>128</v>
      </c>
      <c r="C223" s="626">
        <v>4.0620000000000003</v>
      </c>
      <c r="D223" s="534">
        <v>4.6334542107991501</v>
      </c>
      <c r="E223" s="514">
        <v>5.4249999999999998</v>
      </c>
      <c r="F223" s="515">
        <v>4.8630000000000004</v>
      </c>
      <c r="G223" s="461" t="s">
        <v>119</v>
      </c>
      <c r="H223" s="461" t="s">
        <v>119</v>
      </c>
    </row>
    <row r="224" spans="1:8" ht="28.5">
      <c r="B224" s="72" t="s">
        <v>129</v>
      </c>
      <c r="C224" s="626">
        <v>47.902999999999999</v>
      </c>
      <c r="D224" s="534">
        <v>24.2639451738562</v>
      </c>
      <c r="E224" s="514">
        <v>23.835999999999999</v>
      </c>
      <c r="F224" s="515">
        <v>21.914999999999999</v>
      </c>
      <c r="G224" s="461" t="s">
        <v>119</v>
      </c>
      <c r="H224" s="461" t="s">
        <v>119</v>
      </c>
    </row>
    <row r="225" spans="1:13">
      <c r="B225" s="72" t="s">
        <v>130</v>
      </c>
      <c r="C225" s="626">
        <v>32.558999999999997</v>
      </c>
      <c r="D225" s="590">
        <v>38.727285572</v>
      </c>
      <c r="E225" s="514">
        <v>41.451000000000001</v>
      </c>
      <c r="F225" s="515">
        <v>43.052999999999997</v>
      </c>
      <c r="G225" s="461" t="s">
        <v>119</v>
      </c>
      <c r="H225" s="461" t="s">
        <v>119</v>
      </c>
    </row>
    <row r="226" spans="1:13">
      <c r="B226" s="72" t="s">
        <v>131</v>
      </c>
      <c r="C226" s="626">
        <v>6.891</v>
      </c>
      <c r="D226" s="534">
        <v>2.7457482568429499</v>
      </c>
      <c r="E226" s="514">
        <v>0.49199999999999999</v>
      </c>
      <c r="F226" s="515">
        <v>9.1579999999999995</v>
      </c>
      <c r="G226" s="461" t="s">
        <v>119</v>
      </c>
      <c r="H226" s="461" t="s">
        <v>119</v>
      </c>
    </row>
    <row r="227" spans="1:13">
      <c r="B227" s="72" t="s">
        <v>132</v>
      </c>
      <c r="C227" s="626">
        <v>2.0139999999999998</v>
      </c>
      <c r="D227" s="534">
        <v>2.0135999999999998</v>
      </c>
      <c r="E227" s="514">
        <v>2.0139999999999998</v>
      </c>
      <c r="F227" s="515">
        <v>2.0139999999999998</v>
      </c>
      <c r="G227" s="461" t="s">
        <v>119</v>
      </c>
      <c r="H227" s="461" t="s">
        <v>119</v>
      </c>
    </row>
    <row r="228" spans="1:13" ht="28.5">
      <c r="B228" s="72" t="s">
        <v>133</v>
      </c>
      <c r="C228" s="626">
        <v>810.73199999999997</v>
      </c>
      <c r="D228" s="534">
        <v>825.03762752492503</v>
      </c>
      <c r="E228" s="514">
        <v>863.34400000000005</v>
      </c>
      <c r="F228" s="515">
        <v>929.15</v>
      </c>
      <c r="G228" s="514">
        <v>732.41399999999999</v>
      </c>
      <c r="H228" s="514">
        <v>732.41399999999999</v>
      </c>
    </row>
    <row r="229" spans="1:13">
      <c r="B229" s="72" t="s">
        <v>134</v>
      </c>
      <c r="C229" s="626">
        <v>139.48099999999999</v>
      </c>
      <c r="D229" s="534">
        <v>149.058589153784</v>
      </c>
      <c r="E229" s="514">
        <v>151.19</v>
      </c>
      <c r="F229" s="515">
        <v>149.51599999999999</v>
      </c>
      <c r="G229" s="514">
        <v>242.05</v>
      </c>
      <c r="H229" s="514">
        <v>276.17599999999999</v>
      </c>
    </row>
    <row r="230" spans="1:13">
      <c r="B230" s="73" t="s">
        <v>49</v>
      </c>
      <c r="C230" s="591">
        <f>SUM(C221:C229)</f>
        <v>1517.2909999999999</v>
      </c>
      <c r="D230" s="591">
        <f>SUM(D221:D229)</f>
        <v>1565.0534232102164</v>
      </c>
      <c r="E230" s="516">
        <f t="shared" ref="E230:F230" si="31">SUM(E221:E229)</f>
        <v>1564.828</v>
      </c>
      <c r="F230" s="517">
        <f t="shared" si="31"/>
        <v>1629.8589999999999</v>
      </c>
      <c r="G230" s="516">
        <f>SUM(G227:G228)</f>
        <v>732.41399999999999</v>
      </c>
      <c r="H230" s="516">
        <f t="shared" ref="H230:H231" si="32">SUM(H227:H228)</f>
        <v>732.41399999999999</v>
      </c>
    </row>
    <row r="231" spans="1:13" ht="16.5" thickBot="1">
      <c r="B231" s="582" t="s">
        <v>478</v>
      </c>
      <c r="C231" s="591">
        <f>C222+C224+C225+C228+C229</f>
        <v>1406.453</v>
      </c>
      <c r="D231" s="591">
        <f>D222+D224+D225+D228+D229</f>
        <v>1444.3473683573293</v>
      </c>
      <c r="E231" s="516">
        <f t="shared" ref="E231:F231" si="33">E222+E224+E225+E228+E229</f>
        <v>1459.5230000000001</v>
      </c>
      <c r="F231" s="517">
        <f t="shared" si="33"/>
        <v>1506.252</v>
      </c>
      <c r="G231" s="516">
        <f>SUM(G228:G229)</f>
        <v>974.46399999999994</v>
      </c>
      <c r="H231" s="516">
        <f t="shared" si="32"/>
        <v>1008.5899999999999</v>
      </c>
      <c r="M231" s="63" t="s">
        <v>60</v>
      </c>
    </row>
    <row r="232" spans="1:13" ht="12" customHeight="1">
      <c r="B232" s="583" t="s">
        <v>135</v>
      </c>
      <c r="C232" s="592"/>
    </row>
    <row r="233" spans="1:13" s="265" customFormat="1" ht="17.25">
      <c r="B233" s="304" t="s">
        <v>20</v>
      </c>
      <c r="C233" s="304"/>
    </row>
    <row r="234" spans="1:13" ht="5.25" customHeight="1"/>
    <row r="235" spans="1:13" ht="16.5" thickBot="1">
      <c r="A235" s="63" t="s">
        <v>480</v>
      </c>
    </row>
    <row r="236" spans="1:13">
      <c r="B236" s="305" t="s">
        <v>91</v>
      </c>
      <c r="C236" s="305" t="s">
        <v>136</v>
      </c>
      <c r="F236" s="1"/>
    </row>
    <row r="237" spans="1:13">
      <c r="B237" s="374" t="s">
        <v>40</v>
      </c>
      <c r="C237" s="625">
        <v>24592</v>
      </c>
      <c r="F237" s="1"/>
    </row>
    <row r="238" spans="1:13">
      <c r="B238" s="374" t="s">
        <v>41</v>
      </c>
      <c r="C238" s="549">
        <v>20851</v>
      </c>
      <c r="D238" s="527"/>
      <c r="F238" s="1"/>
    </row>
    <row r="239" spans="1:13">
      <c r="B239" s="374" t="s">
        <v>42</v>
      </c>
      <c r="C239" s="374">
        <v>18667</v>
      </c>
      <c r="E239" s="362"/>
      <c r="F239" s="1"/>
    </row>
    <row r="240" spans="1:13">
      <c r="B240" s="374" t="s">
        <v>43</v>
      </c>
      <c r="C240" s="656" t="s">
        <v>482</v>
      </c>
      <c r="E240" s="362"/>
      <c r="F240" s="1"/>
    </row>
    <row r="241" spans="1:7">
      <c r="B241" s="374" t="s">
        <v>44</v>
      </c>
      <c r="C241" s="374">
        <f>8521+2041</f>
        <v>10562</v>
      </c>
      <c r="E241" s="362"/>
      <c r="F241" s="535"/>
    </row>
    <row r="242" spans="1:7" ht="16.5" thickBot="1">
      <c r="B242" s="375" t="s">
        <v>45</v>
      </c>
      <c r="C242" s="375">
        <f>8521+2041</f>
        <v>10562</v>
      </c>
      <c r="F242" s="535"/>
    </row>
    <row r="243" spans="1:7" ht="5.25" customHeight="1"/>
    <row r="244" spans="1:7" ht="16.5" thickBot="1">
      <c r="A244" s="2" t="s">
        <v>484</v>
      </c>
    </row>
    <row r="245" spans="1:7" ht="71.25">
      <c r="B245" s="382" t="s">
        <v>485</v>
      </c>
      <c r="C245" s="305" t="s">
        <v>50</v>
      </c>
      <c r="D245" s="305" t="s">
        <v>138</v>
      </c>
      <c r="E245" s="305" t="s">
        <v>139</v>
      </c>
      <c r="F245" s="305" t="s">
        <v>140</v>
      </c>
      <c r="G245" s="305" t="s">
        <v>141</v>
      </c>
    </row>
    <row r="246" spans="1:7">
      <c r="B246" s="372" t="s">
        <v>40</v>
      </c>
      <c r="C246" s="366" t="s">
        <v>142</v>
      </c>
      <c r="D246" s="367">
        <v>15019</v>
      </c>
      <c r="E246" s="367">
        <v>5719</v>
      </c>
      <c r="F246" s="367">
        <v>0</v>
      </c>
      <c r="G246" s="518">
        <v>5719</v>
      </c>
    </row>
    <row r="247" spans="1:7">
      <c r="B247" s="372"/>
      <c r="C247" s="366" t="s">
        <v>143</v>
      </c>
      <c r="D247" s="367">
        <v>8353</v>
      </c>
      <c r="E247" s="367">
        <v>629</v>
      </c>
      <c r="F247" s="367">
        <v>0</v>
      </c>
      <c r="G247" s="518">
        <v>629</v>
      </c>
    </row>
    <row r="248" spans="1:7">
      <c r="B248" s="372"/>
      <c r="C248" s="366" t="s">
        <v>144</v>
      </c>
      <c r="D248" s="367">
        <v>5998</v>
      </c>
      <c r="E248" s="367">
        <v>6173</v>
      </c>
      <c r="F248" s="367">
        <v>0</v>
      </c>
      <c r="G248" s="518">
        <v>6173</v>
      </c>
    </row>
    <row r="249" spans="1:7">
      <c r="B249" s="372"/>
      <c r="C249" s="366" t="s">
        <v>145</v>
      </c>
      <c r="D249" s="367">
        <v>625</v>
      </c>
      <c r="E249" s="367">
        <v>253</v>
      </c>
      <c r="F249" s="367">
        <v>0</v>
      </c>
      <c r="G249" s="518">
        <v>253</v>
      </c>
    </row>
    <row r="250" spans="1:7">
      <c r="B250" s="372"/>
      <c r="C250" s="366" t="s">
        <v>146</v>
      </c>
      <c r="D250" s="367">
        <v>834</v>
      </c>
      <c r="E250" s="367">
        <v>99</v>
      </c>
      <c r="F250" s="367">
        <v>0</v>
      </c>
      <c r="G250" s="518">
        <v>99</v>
      </c>
    </row>
    <row r="251" spans="1:7">
      <c r="B251" s="372"/>
      <c r="C251" s="366" t="s">
        <v>147</v>
      </c>
      <c r="D251" s="367">
        <v>768</v>
      </c>
      <c r="E251" s="367">
        <v>267</v>
      </c>
      <c r="F251" s="367">
        <v>0</v>
      </c>
      <c r="G251" s="518">
        <v>267</v>
      </c>
    </row>
    <row r="252" spans="1:7">
      <c r="B252" s="372"/>
      <c r="C252" s="366" t="s">
        <v>148</v>
      </c>
      <c r="D252" s="367">
        <v>525</v>
      </c>
      <c r="E252" s="367">
        <v>275</v>
      </c>
      <c r="F252" s="521">
        <v>0</v>
      </c>
      <c r="G252" s="518">
        <v>275</v>
      </c>
    </row>
    <row r="253" spans="1:7">
      <c r="B253" s="372"/>
      <c r="C253" s="366" t="s">
        <v>149</v>
      </c>
      <c r="D253" s="367">
        <v>628</v>
      </c>
      <c r="E253" s="367">
        <v>262</v>
      </c>
      <c r="F253" s="521">
        <v>0</v>
      </c>
      <c r="G253" s="518">
        <v>262</v>
      </c>
    </row>
    <row r="254" spans="1:7">
      <c r="B254" s="372"/>
      <c r="C254" s="366" t="s">
        <v>150</v>
      </c>
      <c r="D254" s="367">
        <v>407</v>
      </c>
      <c r="E254" s="367">
        <v>166</v>
      </c>
      <c r="F254" s="521">
        <v>0</v>
      </c>
      <c r="G254" s="518">
        <v>166</v>
      </c>
    </row>
    <row r="255" spans="1:7">
      <c r="B255" s="372"/>
      <c r="C255" s="366" t="s">
        <v>151</v>
      </c>
      <c r="D255" s="367">
        <v>1076</v>
      </c>
      <c r="E255" s="367">
        <v>752</v>
      </c>
      <c r="F255" s="521">
        <v>0</v>
      </c>
      <c r="G255" s="518">
        <v>752</v>
      </c>
    </row>
    <row r="256" spans="1:7">
      <c r="B256" s="372"/>
      <c r="C256" s="366" t="s">
        <v>152</v>
      </c>
      <c r="D256" s="367">
        <v>3993</v>
      </c>
      <c r="E256" s="367">
        <v>1960</v>
      </c>
      <c r="F256" s="521">
        <v>0</v>
      </c>
      <c r="G256" s="518">
        <v>1960</v>
      </c>
    </row>
    <row r="257" spans="2:8">
      <c r="B257" s="372"/>
      <c r="C257" s="366" t="s">
        <v>153</v>
      </c>
      <c r="D257" s="367">
        <v>0</v>
      </c>
      <c r="E257" s="367"/>
      <c r="F257" s="521">
        <v>0</v>
      </c>
      <c r="G257" s="518">
        <v>0</v>
      </c>
    </row>
    <row r="258" spans="2:8">
      <c r="B258" s="372"/>
      <c r="C258" s="366" t="s">
        <v>154</v>
      </c>
      <c r="D258" s="367">
        <v>0</v>
      </c>
      <c r="E258" s="367"/>
      <c r="F258" s="521">
        <v>0</v>
      </c>
      <c r="G258" s="518">
        <v>0</v>
      </c>
    </row>
    <row r="259" spans="2:8" ht="16.5" thickBot="1">
      <c r="B259" s="336"/>
      <c r="C259" s="465" t="s">
        <v>96</v>
      </c>
      <c r="D259" s="519">
        <v>38226</v>
      </c>
      <c r="E259" s="519">
        <v>16555</v>
      </c>
      <c r="F259" s="519">
        <v>0</v>
      </c>
      <c r="G259" s="520">
        <v>16555</v>
      </c>
    </row>
    <row r="260" spans="2:8">
      <c r="B260" s="372" t="s">
        <v>41</v>
      </c>
      <c r="C260" s="366" t="s">
        <v>142</v>
      </c>
      <c r="D260" s="367">
        <v>17379.2</v>
      </c>
      <c r="E260" s="367">
        <v>6667.4</v>
      </c>
      <c r="F260" s="367">
        <v>7902.97</v>
      </c>
      <c r="G260" s="518">
        <f t="shared" ref="G260:G272" si="34">SUM(E260,F260)</f>
        <v>14570.369999999999</v>
      </c>
    </row>
    <row r="261" spans="2:8">
      <c r="B261" s="372"/>
      <c r="C261" s="366" t="s">
        <v>143</v>
      </c>
      <c r="D261" s="367">
        <v>7993.2</v>
      </c>
      <c r="E261" s="367">
        <v>649.5</v>
      </c>
      <c r="F261" s="367">
        <v>4684.6000000000004</v>
      </c>
      <c r="G261" s="518">
        <f t="shared" si="34"/>
        <v>5334.1</v>
      </c>
    </row>
    <row r="262" spans="2:8">
      <c r="B262" s="372"/>
      <c r="C262" s="366" t="s">
        <v>144</v>
      </c>
      <c r="D262" s="367">
        <v>6358.5</v>
      </c>
      <c r="E262" s="367">
        <v>6544.1</v>
      </c>
      <c r="F262" s="367">
        <v>2266.89</v>
      </c>
      <c r="G262" s="518">
        <f t="shared" si="34"/>
        <v>8810.99</v>
      </c>
    </row>
    <row r="263" spans="2:8">
      <c r="B263" s="372"/>
      <c r="C263" s="366" t="s">
        <v>145</v>
      </c>
      <c r="D263" s="367">
        <v>602.1</v>
      </c>
      <c r="E263" s="367">
        <v>243.8</v>
      </c>
      <c r="F263" s="367">
        <v>194.65</v>
      </c>
      <c r="G263" s="518">
        <f t="shared" si="34"/>
        <v>438.45000000000005</v>
      </c>
    </row>
    <row r="264" spans="2:8">
      <c r="B264" s="372"/>
      <c r="C264" s="366" t="s">
        <v>146</v>
      </c>
      <c r="D264" s="367">
        <v>756.2</v>
      </c>
      <c r="E264" s="367">
        <v>89.4</v>
      </c>
      <c r="F264" s="367">
        <v>300.66000000000003</v>
      </c>
      <c r="G264" s="518">
        <f t="shared" si="34"/>
        <v>390.06000000000006</v>
      </c>
    </row>
    <row r="265" spans="2:8">
      <c r="B265" s="372"/>
      <c r="C265" s="366" t="s">
        <v>147</v>
      </c>
      <c r="D265" s="367">
        <v>681.8</v>
      </c>
      <c r="E265" s="367">
        <v>201.2</v>
      </c>
      <c r="F265" s="367">
        <v>244.93</v>
      </c>
      <c r="G265" s="518">
        <f t="shared" si="34"/>
        <v>446.13</v>
      </c>
    </row>
    <row r="266" spans="2:8">
      <c r="B266" s="372"/>
      <c r="C266" s="366" t="s">
        <v>148</v>
      </c>
      <c r="D266" s="367">
        <v>500.5</v>
      </c>
      <c r="E266" s="367">
        <v>262.10000000000002</v>
      </c>
      <c r="F266" s="521">
        <v>603.76</v>
      </c>
      <c r="G266" s="518">
        <f t="shared" si="34"/>
        <v>865.86</v>
      </c>
    </row>
    <row r="267" spans="2:8">
      <c r="B267" s="372"/>
      <c r="C267" s="366" t="s">
        <v>149</v>
      </c>
      <c r="D267" s="367">
        <v>542.20000000000005</v>
      </c>
      <c r="E267" s="367">
        <v>226.2</v>
      </c>
      <c r="F267" s="521">
        <v>600.09</v>
      </c>
      <c r="G267" s="518">
        <f t="shared" si="34"/>
        <v>826.29</v>
      </c>
    </row>
    <row r="268" spans="2:8">
      <c r="B268" s="372"/>
      <c r="C268" s="366" t="s">
        <v>150</v>
      </c>
      <c r="D268" s="367">
        <v>267.5</v>
      </c>
      <c r="E268" s="367">
        <v>118.2</v>
      </c>
      <c r="F268" s="521">
        <v>297.99</v>
      </c>
      <c r="G268" s="518">
        <f t="shared" si="34"/>
        <v>416.19</v>
      </c>
    </row>
    <row r="269" spans="2:8">
      <c r="B269" s="372"/>
      <c r="C269" s="366" t="s">
        <v>151</v>
      </c>
      <c r="D269" s="367">
        <v>970.7</v>
      </c>
      <c r="E269" s="367">
        <v>678.6</v>
      </c>
      <c r="F269" s="521">
        <v>246.46</v>
      </c>
      <c r="G269" s="518">
        <f t="shared" si="34"/>
        <v>925.06000000000006</v>
      </c>
    </row>
    <row r="270" spans="2:8">
      <c r="B270" s="372"/>
      <c r="C270" s="366" t="s">
        <v>152</v>
      </c>
      <c r="D270" s="367">
        <v>0</v>
      </c>
      <c r="E270" s="367">
        <v>0</v>
      </c>
      <c r="F270" s="521">
        <v>8753.48</v>
      </c>
      <c r="G270" s="518">
        <f t="shared" si="34"/>
        <v>8753.48</v>
      </c>
      <c r="H270" s="513"/>
    </row>
    <row r="271" spans="2:8">
      <c r="B271" s="372"/>
      <c r="C271" s="366" t="s">
        <v>153</v>
      </c>
      <c r="D271" s="367">
        <v>0</v>
      </c>
      <c r="E271" s="367">
        <v>0</v>
      </c>
      <c r="F271" s="521">
        <v>916.26</v>
      </c>
      <c r="G271" s="518">
        <f t="shared" si="34"/>
        <v>916.26</v>
      </c>
    </row>
    <row r="272" spans="2:8">
      <c r="B272" s="372"/>
      <c r="C272" s="366" t="s">
        <v>154</v>
      </c>
      <c r="D272" s="367"/>
      <c r="E272" s="367">
        <v>784</v>
      </c>
      <c r="F272" s="521">
        <v>8533.64</v>
      </c>
      <c r="G272" s="518">
        <f t="shared" si="34"/>
        <v>9317.64</v>
      </c>
    </row>
    <row r="273" spans="2:7" ht="16.5" thickBot="1">
      <c r="B273" s="336"/>
      <c r="C273" s="465" t="s">
        <v>96</v>
      </c>
      <c r="D273" s="519">
        <f>SUM(D260:D272)</f>
        <v>36051.899999999994</v>
      </c>
      <c r="E273" s="519">
        <f>SUM(E260:E272)</f>
        <v>16464.5</v>
      </c>
      <c r="F273" s="519">
        <f>SUM(F260:F272)</f>
        <v>35546.379999999997</v>
      </c>
      <c r="G273" s="520">
        <f>SUM(E273:F273)</f>
        <v>52010.879999999997</v>
      </c>
    </row>
    <row r="274" spans="2:7">
      <c r="B274" s="372" t="s">
        <v>42</v>
      </c>
      <c r="C274" s="366" t="s">
        <v>142</v>
      </c>
      <c r="D274" s="367">
        <v>17236.076000000001</v>
      </c>
      <c r="E274" s="367">
        <v>6540.2</v>
      </c>
      <c r="F274" s="367">
        <v>6065.01</v>
      </c>
      <c r="G274" s="522">
        <f t="shared" ref="G274:G286" si="35">SUM(E274,F274)</f>
        <v>12605.21</v>
      </c>
    </row>
    <row r="275" spans="2:7">
      <c r="B275" s="372"/>
      <c r="C275" s="366" t="s">
        <v>143</v>
      </c>
      <c r="D275" s="367">
        <v>8400.0820000000003</v>
      </c>
      <c r="E275" s="367">
        <v>1287.7</v>
      </c>
      <c r="F275" s="367">
        <v>5012.09</v>
      </c>
      <c r="G275" s="522">
        <f t="shared" si="35"/>
        <v>6299.79</v>
      </c>
    </row>
    <row r="276" spans="2:7">
      <c r="B276" s="372"/>
      <c r="C276" s="366" t="s">
        <v>144</v>
      </c>
      <c r="D276" s="367">
        <v>8749</v>
      </c>
      <c r="E276" s="367">
        <v>8713.1</v>
      </c>
      <c r="F276" s="367">
        <v>3429.91</v>
      </c>
      <c r="G276" s="522">
        <f t="shared" si="35"/>
        <v>12143.01</v>
      </c>
    </row>
    <row r="277" spans="2:7">
      <c r="B277" s="372"/>
      <c r="C277" s="366" t="s">
        <v>146</v>
      </c>
      <c r="D277" s="367">
        <v>729.298</v>
      </c>
      <c r="E277" s="367">
        <v>86.2</v>
      </c>
      <c r="F277" s="367">
        <v>274.94</v>
      </c>
      <c r="G277" s="522">
        <f t="shared" si="35"/>
        <v>361.14</v>
      </c>
    </row>
    <row r="278" spans="2:7">
      <c r="B278" s="372"/>
      <c r="C278" s="366" t="s">
        <v>147</v>
      </c>
      <c r="D278" s="367">
        <v>667.97199999999998</v>
      </c>
      <c r="E278" s="367">
        <v>197.1</v>
      </c>
      <c r="F278" s="367">
        <v>247.85</v>
      </c>
      <c r="G278" s="522">
        <f t="shared" si="35"/>
        <v>444.95</v>
      </c>
    </row>
    <row r="279" spans="2:7">
      <c r="B279" s="372"/>
      <c r="C279" s="366" t="s">
        <v>148</v>
      </c>
      <c r="D279" s="367">
        <v>451.44200000000001</v>
      </c>
      <c r="E279" s="367">
        <v>236.4</v>
      </c>
      <c r="F279" s="521">
        <v>568.84</v>
      </c>
      <c r="G279" s="522">
        <f t="shared" si="35"/>
        <v>805.24</v>
      </c>
    </row>
    <row r="280" spans="2:7">
      <c r="B280" s="372"/>
      <c r="C280" s="366" t="s">
        <v>149</v>
      </c>
      <c r="D280" s="367">
        <v>372.28100000000001</v>
      </c>
      <c r="E280" s="367">
        <v>155</v>
      </c>
      <c r="F280" s="521">
        <v>519.09</v>
      </c>
      <c r="G280" s="522">
        <f t="shared" si="35"/>
        <v>674.09</v>
      </c>
    </row>
    <row r="281" spans="2:7">
      <c r="B281" s="372"/>
      <c r="C281" s="366" t="s">
        <v>150</v>
      </c>
      <c r="D281" s="367">
        <v>0</v>
      </c>
      <c r="E281" s="367">
        <v>0</v>
      </c>
      <c r="F281" s="521">
        <v>301.45</v>
      </c>
      <c r="G281" s="522">
        <f t="shared" si="35"/>
        <v>301.45</v>
      </c>
    </row>
    <row r="282" spans="2:7">
      <c r="B282" s="372"/>
      <c r="C282" s="366" t="s">
        <v>151</v>
      </c>
      <c r="D282" s="367">
        <v>0</v>
      </c>
      <c r="E282" s="367">
        <v>0</v>
      </c>
      <c r="F282" s="521">
        <v>816.63</v>
      </c>
      <c r="G282" s="522">
        <f t="shared" si="35"/>
        <v>816.63</v>
      </c>
    </row>
    <row r="283" spans="2:7">
      <c r="B283" s="372"/>
      <c r="C283" s="366" t="s">
        <v>152</v>
      </c>
      <c r="D283" s="367">
        <v>0</v>
      </c>
      <c r="E283" s="367">
        <v>0</v>
      </c>
      <c r="F283" s="521">
        <v>15123.79</v>
      </c>
      <c r="G283" s="522">
        <f t="shared" si="35"/>
        <v>15123.79</v>
      </c>
    </row>
    <row r="284" spans="2:7">
      <c r="B284" s="372"/>
      <c r="C284" s="366" t="s">
        <v>153</v>
      </c>
      <c r="D284" s="367">
        <v>0</v>
      </c>
      <c r="E284" s="367">
        <v>0</v>
      </c>
      <c r="F284" s="521">
        <v>906.3</v>
      </c>
      <c r="G284" s="522">
        <f t="shared" si="35"/>
        <v>906.3</v>
      </c>
    </row>
    <row r="285" spans="2:7">
      <c r="B285" s="372"/>
      <c r="C285" s="366" t="s">
        <v>154</v>
      </c>
      <c r="D285" s="367">
        <v>1195.4639999999999</v>
      </c>
      <c r="E285" s="367">
        <v>669</v>
      </c>
      <c r="F285" s="521">
        <v>9100.1200000000008</v>
      </c>
      <c r="G285" s="522">
        <f t="shared" si="35"/>
        <v>9769.1200000000008</v>
      </c>
    </row>
    <row r="286" spans="2:7" ht="16.5" thickBot="1">
      <c r="B286" s="336"/>
      <c r="C286" s="465" t="s">
        <v>96</v>
      </c>
      <c r="D286" s="368">
        <f>SUM(D274:D285)</f>
        <v>37801.615000000013</v>
      </c>
      <c r="E286" s="368">
        <f>SUM(E274:E285)</f>
        <v>17884.7</v>
      </c>
      <c r="F286" s="368">
        <f>SUM(F274:F285)</f>
        <v>42366.020000000004</v>
      </c>
      <c r="G286" s="523">
        <f t="shared" si="35"/>
        <v>60250.720000000001</v>
      </c>
    </row>
    <row r="287" spans="2:7">
      <c r="B287" s="372" t="s">
        <v>43</v>
      </c>
      <c r="C287" s="366" t="s">
        <v>142</v>
      </c>
      <c r="D287" s="369">
        <v>18711</v>
      </c>
      <c r="E287" s="370">
        <v>7568</v>
      </c>
      <c r="F287" s="379">
        <v>0</v>
      </c>
      <c r="G287" s="522">
        <f t="shared" ref="G287:G296" si="36">SUM(D287:E287)</f>
        <v>26279</v>
      </c>
    </row>
    <row r="288" spans="2:7">
      <c r="B288" s="372"/>
      <c r="C288" s="366" t="s">
        <v>143</v>
      </c>
      <c r="D288" s="369">
        <v>8148</v>
      </c>
      <c r="E288" s="370">
        <v>1390</v>
      </c>
      <c r="F288" s="379">
        <v>0</v>
      </c>
      <c r="G288" s="522">
        <f t="shared" si="36"/>
        <v>9538</v>
      </c>
    </row>
    <row r="289" spans="1:12">
      <c r="B289" s="372"/>
      <c r="C289" s="463" t="s">
        <v>144</v>
      </c>
      <c r="D289" s="367">
        <v>5557</v>
      </c>
      <c r="E289" s="464">
        <v>5890</v>
      </c>
      <c r="F289" s="379">
        <v>0</v>
      </c>
      <c r="G289" s="522">
        <f t="shared" si="36"/>
        <v>11447</v>
      </c>
    </row>
    <row r="290" spans="1:12">
      <c r="B290" s="372"/>
      <c r="C290" s="366" t="s">
        <v>152</v>
      </c>
      <c r="D290" s="369">
        <v>0</v>
      </c>
      <c r="E290" s="373">
        <v>0</v>
      </c>
      <c r="F290" s="380">
        <v>0</v>
      </c>
      <c r="G290" s="522">
        <f t="shared" si="36"/>
        <v>0</v>
      </c>
    </row>
    <row r="291" spans="1:12" ht="16.5" thickBot="1">
      <c r="B291" s="336"/>
      <c r="C291" s="465" t="s">
        <v>96</v>
      </c>
      <c r="D291" s="368">
        <f>SUM(D287:D290)</f>
        <v>32416</v>
      </c>
      <c r="E291" s="371">
        <f t="shared" ref="E291" si="37">SUM(E287:E290)</f>
        <v>14848</v>
      </c>
      <c r="F291" s="381">
        <v>0</v>
      </c>
      <c r="G291" s="523">
        <f t="shared" si="36"/>
        <v>47264</v>
      </c>
    </row>
    <row r="292" spans="1:12">
      <c r="B292" s="372" t="s">
        <v>103</v>
      </c>
      <c r="C292" s="366" t="s">
        <v>142</v>
      </c>
      <c r="D292" s="369">
        <v>18399</v>
      </c>
      <c r="E292" s="370">
        <v>8521</v>
      </c>
      <c r="F292" s="379">
        <v>0</v>
      </c>
      <c r="G292" s="522">
        <f t="shared" si="36"/>
        <v>26920</v>
      </c>
    </row>
    <row r="293" spans="1:12">
      <c r="B293" s="372" t="s">
        <v>104</v>
      </c>
      <c r="C293" s="366" t="s">
        <v>143</v>
      </c>
      <c r="D293" s="369">
        <v>8213.8259999999991</v>
      </c>
      <c r="E293" s="370">
        <v>2041</v>
      </c>
      <c r="F293" s="379">
        <v>0</v>
      </c>
      <c r="G293" s="522">
        <f t="shared" si="36"/>
        <v>10254.825999999999</v>
      </c>
    </row>
    <row r="294" spans="1:12">
      <c r="B294" s="372"/>
      <c r="C294" s="366" t="s">
        <v>144</v>
      </c>
      <c r="D294" s="369">
        <v>0</v>
      </c>
      <c r="E294" s="373">
        <v>0</v>
      </c>
      <c r="F294" s="380">
        <v>0</v>
      </c>
      <c r="G294" s="522">
        <f t="shared" si="36"/>
        <v>0</v>
      </c>
    </row>
    <row r="295" spans="1:12">
      <c r="B295" s="372"/>
      <c r="C295" s="366" t="s">
        <v>152</v>
      </c>
      <c r="D295" s="369">
        <v>0</v>
      </c>
      <c r="E295" s="373">
        <v>0</v>
      </c>
      <c r="F295" s="380">
        <v>0</v>
      </c>
      <c r="G295" s="522">
        <f t="shared" si="36"/>
        <v>0</v>
      </c>
    </row>
    <row r="296" spans="1:12" ht="16.5" thickBot="1">
      <c r="B296" s="336"/>
      <c r="C296" s="465" t="s">
        <v>96</v>
      </c>
      <c r="D296" s="368">
        <f>SUM(D292:D295)</f>
        <v>26612.826000000001</v>
      </c>
      <c r="E296" s="371">
        <f>SUM(E292:E295)</f>
        <v>10562</v>
      </c>
      <c r="F296" s="381">
        <v>0</v>
      </c>
      <c r="G296" s="523">
        <f t="shared" si="36"/>
        <v>37174.826000000001</v>
      </c>
    </row>
    <row r="297" spans="1:12" ht="5.25" customHeight="1"/>
    <row r="298" spans="1:12" ht="16.5" thickBot="1">
      <c r="A298" s="363" t="s">
        <v>155</v>
      </c>
    </row>
    <row r="299" spans="1:12" ht="28.5">
      <c r="B299" s="382" t="s">
        <v>137</v>
      </c>
      <c r="C299" s="305" t="s">
        <v>140</v>
      </c>
    </row>
    <row r="300" spans="1:12">
      <c r="B300" s="595"/>
      <c r="C300" s="594"/>
    </row>
    <row r="301" spans="1:12">
      <c r="B301" s="372" t="s">
        <v>40</v>
      </c>
      <c r="C301" s="367">
        <v>32682</v>
      </c>
    </row>
    <row r="302" spans="1:12">
      <c r="B302" s="372" t="s">
        <v>41</v>
      </c>
      <c r="C302" s="369">
        <v>35546</v>
      </c>
      <c r="E302" s="1"/>
    </row>
    <row r="303" spans="1:12" ht="16.5" thickBot="1">
      <c r="B303" s="336" t="s">
        <v>42</v>
      </c>
      <c r="C303" s="466">
        <v>29414</v>
      </c>
      <c r="L303" s="63" t="s">
        <v>60</v>
      </c>
    </row>
    <row r="304" spans="1:12" ht="5.25" customHeight="1"/>
    <row r="305" spans="1:8" s="265" customFormat="1" ht="17.25">
      <c r="B305" s="304" t="s">
        <v>28</v>
      </c>
      <c r="C305" s="304"/>
    </row>
    <row r="306" spans="1:8" ht="5.25" customHeight="1"/>
    <row r="307" spans="1:8" ht="16.5" thickBot="1">
      <c r="A307" s="363" t="s">
        <v>30</v>
      </c>
    </row>
    <row r="308" spans="1:8" ht="28.5">
      <c r="B308" s="305" t="s">
        <v>156</v>
      </c>
      <c r="C308" s="305" t="s">
        <v>40</v>
      </c>
      <c r="D308" s="305" t="s">
        <v>41</v>
      </c>
      <c r="E308" s="305" t="s">
        <v>42</v>
      </c>
      <c r="F308" s="305" t="s">
        <v>43</v>
      </c>
      <c r="G308" s="305" t="s">
        <v>44</v>
      </c>
      <c r="H308" s="305" t="s">
        <v>45</v>
      </c>
    </row>
    <row r="309" spans="1:8">
      <c r="B309" s="139" t="s">
        <v>157</v>
      </c>
      <c r="C309" s="628">
        <v>51013</v>
      </c>
      <c r="D309" s="530">
        <v>87467</v>
      </c>
      <c r="E309" s="530">
        <v>82537</v>
      </c>
      <c r="F309" s="530">
        <v>87073</v>
      </c>
      <c r="G309" s="530">
        <v>75210</v>
      </c>
      <c r="H309" s="530">
        <v>75448</v>
      </c>
    </row>
    <row r="310" spans="1:8">
      <c r="B310" s="139" t="s">
        <v>158</v>
      </c>
      <c r="C310" s="628">
        <v>10650</v>
      </c>
      <c r="D310" s="530">
        <f>SUM(D311:D315)</f>
        <v>16272</v>
      </c>
      <c r="E310" s="530">
        <v>32279</v>
      </c>
      <c r="F310" s="530">
        <v>57039</v>
      </c>
      <c r="G310" s="530">
        <v>48186</v>
      </c>
      <c r="H310" s="530">
        <v>50197</v>
      </c>
    </row>
    <row r="311" spans="1:8">
      <c r="B311" s="137" t="s">
        <v>159</v>
      </c>
      <c r="C311" s="630">
        <v>10586</v>
      </c>
      <c r="D311" s="586">
        <v>15624</v>
      </c>
      <c r="E311" s="528" t="s">
        <v>68</v>
      </c>
      <c r="F311" s="528" t="s">
        <v>68</v>
      </c>
      <c r="G311" s="528" t="s">
        <v>68</v>
      </c>
      <c r="H311" s="528" t="s">
        <v>68</v>
      </c>
    </row>
    <row r="312" spans="1:8" ht="28.5">
      <c r="B312" s="467" t="s">
        <v>160</v>
      </c>
      <c r="C312" s="630">
        <v>3397</v>
      </c>
      <c r="D312" s="586">
        <v>648</v>
      </c>
      <c r="E312" s="528" t="s">
        <v>68</v>
      </c>
      <c r="F312" s="528" t="s">
        <v>68</v>
      </c>
      <c r="G312" s="528" t="s">
        <v>68</v>
      </c>
      <c r="H312" s="528" t="s">
        <v>68</v>
      </c>
    </row>
    <row r="313" spans="1:8" ht="28.5">
      <c r="B313" s="467" t="s">
        <v>161</v>
      </c>
      <c r="C313" s="629" t="s">
        <v>162</v>
      </c>
      <c r="D313" s="586"/>
      <c r="E313" s="528" t="s">
        <v>68</v>
      </c>
      <c r="F313" s="528" t="s">
        <v>68</v>
      </c>
      <c r="G313" s="528" t="s">
        <v>68</v>
      </c>
      <c r="H313" s="528" t="s">
        <v>68</v>
      </c>
    </row>
    <row r="314" spans="1:8">
      <c r="B314" s="467" t="s">
        <v>163</v>
      </c>
      <c r="C314" s="629" t="s">
        <v>162</v>
      </c>
      <c r="D314" s="587">
        <v>0</v>
      </c>
      <c r="E314" s="528" t="s">
        <v>68</v>
      </c>
      <c r="F314" s="528" t="s">
        <v>68</v>
      </c>
      <c r="G314" s="528" t="s">
        <v>68</v>
      </c>
      <c r="H314" s="528" t="s">
        <v>68</v>
      </c>
    </row>
    <row r="315" spans="1:8">
      <c r="B315" s="467" t="s">
        <v>164</v>
      </c>
      <c r="C315" s="629" t="s">
        <v>162</v>
      </c>
      <c r="D315" s="588">
        <v>0</v>
      </c>
      <c r="E315" s="528" t="s">
        <v>68</v>
      </c>
      <c r="F315" s="528" t="s">
        <v>68</v>
      </c>
      <c r="G315" s="528" t="s">
        <v>68</v>
      </c>
      <c r="H315" s="528" t="s">
        <v>68</v>
      </c>
    </row>
    <row r="316" spans="1:8">
      <c r="B316" s="468" t="s">
        <v>165</v>
      </c>
      <c r="C316" s="631">
        <v>1</v>
      </c>
      <c r="D316" s="529">
        <v>1</v>
      </c>
      <c r="E316" s="529">
        <v>1</v>
      </c>
      <c r="F316" s="529">
        <v>1</v>
      </c>
      <c r="G316" s="529">
        <v>1</v>
      </c>
      <c r="H316" s="529">
        <v>1</v>
      </c>
    </row>
    <row r="317" spans="1:8" ht="5.25" customHeight="1"/>
    <row r="318" spans="1:8">
      <c r="A318" s="363" t="s">
        <v>32</v>
      </c>
    </row>
    <row r="319" spans="1:8" ht="28.5">
      <c r="B319" s="306" t="s">
        <v>166</v>
      </c>
      <c r="C319" s="305" t="s">
        <v>40</v>
      </c>
      <c r="D319" s="451" t="s">
        <v>41</v>
      </c>
      <c r="E319" s="305" t="s">
        <v>42</v>
      </c>
      <c r="F319" s="426" t="s">
        <v>43</v>
      </c>
      <c r="G319" s="305" t="s">
        <v>44</v>
      </c>
      <c r="H319" s="305" t="s">
        <v>45</v>
      </c>
    </row>
    <row r="320" spans="1:8" ht="30" customHeight="1">
      <c r="B320" s="467" t="s">
        <v>167</v>
      </c>
      <c r="C320" s="632">
        <v>8900</v>
      </c>
      <c r="D320" s="248">
        <v>10285</v>
      </c>
      <c r="E320" s="248">
        <v>6816.1</v>
      </c>
      <c r="F320" s="472">
        <v>4388</v>
      </c>
      <c r="G320" s="469">
        <v>4388</v>
      </c>
      <c r="H320" s="469">
        <v>4388</v>
      </c>
    </row>
    <row r="321" spans="2:13" ht="43.5" customHeight="1">
      <c r="B321" s="467" t="s">
        <v>168</v>
      </c>
      <c r="C321" s="474" t="s">
        <v>169</v>
      </c>
      <c r="D321" s="589">
        <v>25890</v>
      </c>
      <c r="E321" s="474" t="s">
        <v>68</v>
      </c>
      <c r="F321" s="474" t="s">
        <v>68</v>
      </c>
      <c r="G321" s="474" t="s">
        <v>68</v>
      </c>
      <c r="H321" s="474" t="s">
        <v>68</v>
      </c>
    </row>
    <row r="322" spans="2:13" ht="33.75" customHeight="1">
      <c r="B322" s="471" t="s">
        <v>170</v>
      </c>
      <c r="C322" s="633">
        <v>27900</v>
      </c>
      <c r="D322" s="250">
        <f>51292+648</f>
        <v>51940</v>
      </c>
      <c r="E322" s="250">
        <v>75070.899999999994</v>
      </c>
      <c r="F322" s="473">
        <v>87072.7</v>
      </c>
      <c r="G322" s="470">
        <v>57647</v>
      </c>
      <c r="H322" s="470">
        <v>57647</v>
      </c>
      <c r="M322" s="63" t="s">
        <v>60</v>
      </c>
    </row>
    <row r="323" spans="2:13" ht="5.25" customHeight="1"/>
    <row r="324" spans="2:13" s="265" customFormat="1" ht="17.25">
      <c r="B324" s="304" t="s">
        <v>35</v>
      </c>
      <c r="C324" s="304"/>
    </row>
    <row r="325" spans="2:13" ht="5.25" customHeight="1">
      <c r="B325" s="550"/>
      <c r="C325" s="550"/>
    </row>
    <row r="326" spans="2:13">
      <c r="B326" s="657" t="s">
        <v>171</v>
      </c>
      <c r="C326" s="584"/>
    </row>
    <row r="327" spans="2:13">
      <c r="B327" s="657" t="s">
        <v>462</v>
      </c>
      <c r="C327" s="584"/>
    </row>
    <row r="328" spans="2:13">
      <c r="B328" s="657" t="s">
        <v>463</v>
      </c>
      <c r="C328" s="584"/>
    </row>
    <row r="329" spans="2:13">
      <c r="B329" s="657" t="s">
        <v>465</v>
      </c>
      <c r="C329" s="584"/>
    </row>
    <row r="330" spans="2:13">
      <c r="B330" s="657" t="s">
        <v>467</v>
      </c>
      <c r="C330" s="584"/>
    </row>
    <row r="331" spans="2:13">
      <c r="B331" s="657" t="s">
        <v>469</v>
      </c>
      <c r="C331" s="584"/>
    </row>
    <row r="332" spans="2:13">
      <c r="B332" s="657" t="s">
        <v>470</v>
      </c>
      <c r="C332" s="584"/>
    </row>
    <row r="333" spans="2:13">
      <c r="B333" s="657" t="s">
        <v>472</v>
      </c>
      <c r="C333" s="584"/>
    </row>
    <row r="334" spans="2:13">
      <c r="B334" s="657" t="s">
        <v>474</v>
      </c>
      <c r="C334" s="584"/>
    </row>
    <row r="335" spans="2:13">
      <c r="B335" s="657" t="s">
        <v>477</v>
      </c>
      <c r="C335" s="584"/>
    </row>
    <row r="336" spans="2:13">
      <c r="B336" s="657" t="s">
        <v>479</v>
      </c>
      <c r="C336" s="584"/>
    </row>
    <row r="337" spans="2:3">
      <c r="B337" s="657" t="s">
        <v>481</v>
      </c>
      <c r="C337" s="584"/>
    </row>
    <row r="338" spans="2:3">
      <c r="B338" s="657" t="s">
        <v>483</v>
      </c>
      <c r="C338" s="584"/>
    </row>
    <row r="339" spans="2:3">
      <c r="B339" s="657" t="s">
        <v>490</v>
      </c>
      <c r="C339" s="584"/>
    </row>
    <row r="340" spans="2:3">
      <c r="B340" s="657" t="s">
        <v>486</v>
      </c>
      <c r="C340" s="584"/>
    </row>
    <row r="341" spans="2:3">
      <c r="B341" s="657" t="s">
        <v>487</v>
      </c>
      <c r="C341" s="584"/>
    </row>
    <row r="342" spans="2:3">
      <c r="B342" s="657" t="s">
        <v>492</v>
      </c>
      <c r="C342" s="585"/>
    </row>
    <row r="343" spans="2:3">
      <c r="B343" s="63" t="s">
        <v>60</v>
      </c>
      <c r="C343" s="63"/>
    </row>
  </sheetData>
  <mergeCells count="41">
    <mergeCell ref="B15:E15"/>
    <mergeCell ref="G13:L13"/>
    <mergeCell ref="G12:L12"/>
    <mergeCell ref="G8:L8"/>
    <mergeCell ref="G7:L7"/>
    <mergeCell ref="B12:E12"/>
    <mergeCell ref="B13:E13"/>
    <mergeCell ref="B14:E14"/>
    <mergeCell ref="B25:E25"/>
    <mergeCell ref="B4:O4"/>
    <mergeCell ref="B146:B147"/>
    <mergeCell ref="C146:C147"/>
    <mergeCell ref="D146:E146"/>
    <mergeCell ref="F146:G146"/>
    <mergeCell ref="H146:I146"/>
    <mergeCell ref="J146:K146"/>
    <mergeCell ref="B7:E7"/>
    <mergeCell ref="B8:E8"/>
    <mergeCell ref="B9:E9"/>
    <mergeCell ref="B10:E10"/>
    <mergeCell ref="B11:E11"/>
    <mergeCell ref="G11:L11"/>
    <mergeCell ref="G10:L10"/>
    <mergeCell ref="G9:L9"/>
    <mergeCell ref="B18:E18"/>
    <mergeCell ref="B17:E17"/>
    <mergeCell ref="B16:E16"/>
    <mergeCell ref="B24:E24"/>
    <mergeCell ref="B23:E23"/>
    <mergeCell ref="B22:E22"/>
    <mergeCell ref="B21:E21"/>
    <mergeCell ref="G21:L21"/>
    <mergeCell ref="G20:L20"/>
    <mergeCell ref="G19:L19"/>
    <mergeCell ref="B20:E20"/>
    <mergeCell ref="B19:E19"/>
    <mergeCell ref="G18:L18"/>
    <mergeCell ref="G17:L17"/>
    <mergeCell ref="G16:L16"/>
    <mergeCell ref="G15:L15"/>
    <mergeCell ref="G14:L14"/>
  </mergeCells>
  <conditionalFormatting sqref="F93">
    <cfRule type="notContainsBlanks" dxfId="7" priority="9">
      <formula>LEN(TRIM(F93))&gt;0</formula>
    </cfRule>
  </conditionalFormatting>
  <conditionalFormatting sqref="F94">
    <cfRule type="notContainsBlanks" dxfId="6" priority="8">
      <formula>LEN(TRIM(F94))&gt;0</formula>
    </cfRule>
  </conditionalFormatting>
  <conditionalFormatting sqref="F91:F92">
    <cfRule type="notContainsBlanks" dxfId="5" priority="7">
      <formula>LEN(TRIM(F91))&gt;0</formula>
    </cfRule>
  </conditionalFormatting>
  <conditionalFormatting sqref="D100:E102">
    <cfRule type="notContainsBlanks" dxfId="4" priority="6">
      <formula>LEN(TRIM(D100))&gt;0</formula>
    </cfRule>
  </conditionalFormatting>
  <conditionalFormatting sqref="F100:H102">
    <cfRule type="notContainsBlanks" dxfId="3" priority="5">
      <formula>LEN(TRIM(F100))&gt;0</formula>
    </cfRule>
  </conditionalFormatting>
  <conditionalFormatting sqref="C100">
    <cfRule type="notContainsBlanks" dxfId="2" priority="3">
      <formula>LEN(TRIM(C100))&gt;0</formula>
    </cfRule>
  </conditionalFormatting>
  <conditionalFormatting sqref="C101">
    <cfRule type="notContainsBlanks" dxfId="1" priority="2">
      <formula>LEN(TRIM(C101))&gt;0</formula>
    </cfRule>
  </conditionalFormatting>
  <conditionalFormatting sqref="C102">
    <cfRule type="notContainsBlanks" dxfId="0" priority="1">
      <formula>LEN(TRIM(C102))&gt;0</formula>
    </cfRule>
  </conditionalFormatting>
  <hyperlinks>
    <hyperlink ref="B7:E7" location="'Planet Positive '!A27" display="Resources" xr:uid="{5F5D72C7-F655-4CAE-ACD3-168182627840}"/>
    <hyperlink ref="B8:E8" location="'Planet Positive '!A29" display="Wood" xr:uid="{1552DB93-8103-47DE-95E3-7E7F13A5DBF2}"/>
    <hyperlink ref="B9:E9" location="'Planet Positive '!A30" display="Wood purchased for manufacture and repair of pallets" xr:uid="{B5002083-FC4C-45AB-BCD4-C973EB1FFF68}"/>
    <hyperlink ref="B10:E10" location="'Planet Positive '!A37" display="Volume of wood Chain of custody (CoC) certified for the year (%)" xr:uid="{02D45EFD-0417-43D7-8690-7D7AA19BB87A}"/>
    <hyperlink ref="B11:E11" location="'Planet Positive '!A44" display="Volume of wood certified sources for the year (%)" xr:uid="{F50955C6-1F31-45E9-9C6C-412703472090}"/>
    <hyperlink ref="B12:E12" location="'Planet Positive '!A51" display="Volume of wood Policy compliant for the year (%)" xr:uid="{F406143C-3F01-4195-8322-EA6228C3A6A1}"/>
    <hyperlink ref="B13:E13" location="'Planet Positive '!A58" display="Wood volume (m3) with Chain of Custody (CoC) certification" xr:uid="{33747D40-FF36-432F-BAF7-98A97EB63036}"/>
    <hyperlink ref="B14:E14" location="'Planet Positive '!A65" display="Wood volume (m3) from certified sources (not including CoC)" xr:uid="{AB01A1F5-C826-4BD6-91A1-7845947691C3}"/>
    <hyperlink ref="B15:E15" location="'Planet Positive '!A72" display="Wood volume (m3) Policy Compliant " xr:uid="{DB047EE9-A9CC-4BB6-BB93-33D5465DC502}"/>
    <hyperlink ref="B16:E16" location="'Planet Positive '!A79" display="Wood volume by continent of origin (%)" xr:uid="{F82C9882-3DE7-4D07-825D-C81CC97AE19A}"/>
    <hyperlink ref="B17:E17" location="'Planet Positive '!A88" display="Reforestation/Afforestation" xr:uid="{99D704D8-8EAF-4F62-B785-62B0F52F37B0}"/>
    <hyperlink ref="B18:E18" location="'Planet Positive '!A96" display="Plastic" xr:uid="{890B0C8D-9E33-420E-B9ED-8CD3CB3A8273}"/>
    <hyperlink ref="B19:E19" location="'Planet Positive '!A104" display="Detergent &amp; Palm Oil" xr:uid="{7F305D2A-F2D4-444D-9AA4-7B8E8FCE9830}"/>
    <hyperlink ref="B20:E20" location="'Planet Positive '!A106" display="Litres of detergent purchased for product washing" xr:uid="{0E669F3E-C8D1-40FA-A53B-33E9471DA0AC}"/>
    <hyperlink ref="B21:E21" location="'Planet Positive '!A110" display="Palm Oil Content" xr:uid="{E9519245-CB28-43C0-B6B3-94B34EACB532}"/>
    <hyperlink ref="B22:E22" location="'Planet Positive '!A115" display="Water" xr:uid="{030D6EDE-F211-46AC-A264-405FDAAF099A}"/>
    <hyperlink ref="B23:E23" location="'Planet Positive '!A117" display="Water consumed, recycled and discharged (megalitres)" xr:uid="{3E139B79-8FEC-47FD-8EE2-83EFAFA46B73}"/>
    <hyperlink ref="B24:E24" location="'Planet Positive '!A126" display="Water consumed, recycled and discharged (million cubic litres)" xr:uid="{BFD828C4-77BD-42AD-B834-CF9CAE290D3F}"/>
    <hyperlink ref="B25:E25" location="'Planet Positive '!A135" display="Volume of water consumed in areas of Water Stress" xr:uid="{56DF4823-9E89-40D1-B32D-A1B6A3ABC839}"/>
    <hyperlink ref="G7:L7" location="'Planet Positive '!A143" display="Energy &amp; Emissions" xr:uid="{29B8A435-4E8B-40D0-9B7C-C541B4466462}"/>
    <hyperlink ref="M86" location="'Planet Positive '!A1" display="Back to top" xr:uid="{60205A18-B397-4D81-8210-BC915A606FF9}"/>
    <hyperlink ref="M94" location="'Planet Positive '!A1" display="Back to top" xr:uid="{32DFD50F-48B7-47C2-A266-4A74093E6C42}"/>
    <hyperlink ref="M102" location="'Planet Positive '!A1" display="Back to top" xr:uid="{E188D138-5FDE-4C6E-9CA2-E7FA91A2045C}"/>
    <hyperlink ref="M113" location="'Planet Positive '!A1" display="Back to top" xr:uid="{E96E7E4C-BDC9-4569-A5CF-9B201BD98829}"/>
    <hyperlink ref="M141" location="'Planet Positive '!A1" display="Back to top" xr:uid="{8B7C5E78-8267-4BAF-B995-FCC67D44DD8D}"/>
    <hyperlink ref="M231" location="'Planet Positive '!A1" display="Back to top" xr:uid="{D99E834A-1450-4DBE-833B-EB2EA52665F6}"/>
    <hyperlink ref="L303" location="'Planet Positive '!A1" display="Back to top" xr:uid="{A17E6321-D9B7-4714-9BC9-79A61D9F5D65}"/>
    <hyperlink ref="M322" location="'Planet Positive '!A1" display="Back to top" xr:uid="{3DA85F4D-4803-40A0-B031-3341B7A29A77}"/>
    <hyperlink ref="B343" location="'Planet Positive '!A1" display="Back to top" xr:uid="{7710E559-0EF3-4AD2-9D83-51F4FDCA4A9D}"/>
    <hyperlink ref="G8:L8" location="'Planet Positive '!A145" display="Kilotonnes (kt) of CO2-e and Terajoules (TJ) of Energy (Scope 1 and 2)" xr:uid="{0B40719E-FB47-4295-8352-1A5933368E62}"/>
    <hyperlink ref="G9:L9" location="'Planet Positive '!A192" display="MWh of energy (Scope 1 and 2)" xr:uid="{9CDC1DBA-3864-4E70-980C-D5983D4E105D}"/>
    <hyperlink ref="G10:L10" location="'Planet Positive '!A199" display="Gigajoules of Renewable Energy (Scope 1 and 2)" xr:uid="{D35F7FD0-D0C0-46D5-80B9-04017E62ACC4}"/>
    <hyperlink ref="G11:L11" location="'Planet Positive '!A205" display="Emissions intensity (kg per unit)" xr:uid="{28B5ADB0-DB33-4324-B128-20C4EFFC8CAE}"/>
    <hyperlink ref="G12:L12" location="'Planet Positive '!A209" display="GHG generation by source (%)" xr:uid="{B7E8F03F-612A-4FDD-9BB9-34620EC05DDD}"/>
    <hyperlink ref="G13:L13" location="'Planet Positive '!A218" display="Science Based Targets Scope 3 Emissions (kt-CO2e) " xr:uid="{A7763059-35C0-4782-97CA-C76D358CF776}"/>
    <hyperlink ref="G14:L14" location="'Planet Positive '!A232" display="Carbon Neutrality" xr:uid="{186647ED-3B3D-4149-BB92-6CD1417105B1}"/>
    <hyperlink ref="G15:L15" location="'Planet Positive '!A234" display="Offset Credits Purchased - Used towards Carbon Neutral Pallets" xr:uid="{FAAD816B-9081-4656-A35F-8331469457C8}"/>
    <hyperlink ref="G16:L16" location="'Planet Positive '!A243" display="Renewable Energy Certificate Credits Purchased towards Scope 2 Carbon Neutrality" xr:uid="{B13754C0-D549-40CB-904E-3376E6644AB1}"/>
    <hyperlink ref="G17:L17" location="'Planet Positive '!A297" display="Carbon Credit Offsets Purchased - towards Scope 1 Carbon Neutrality" xr:uid="{8FC09EB3-4ED9-4DF6-BD80-A0246AF1DCA6}"/>
    <hyperlink ref="G18:L18" location="'Planet Positive '!A304" display="Outputs" xr:uid="{54D7D12D-D08A-45EB-9BB5-9172694E638F}"/>
    <hyperlink ref="G19:L19" location="'Planet Positive '!A306" display="Waste Disposed (metric tonnes) " xr:uid="{3C7244B5-EF6D-4184-8973-0B7E9F4CEA52}"/>
    <hyperlink ref="G20:L20" location="'Planet Positive '!A317" display="Wood reclaimed (Pallets) (metric tonnes)" xr:uid="{D2056120-7997-4995-A758-C5243BAB4921}"/>
    <hyperlink ref="G21:L21" location="'Planet Positive '!A323" display="Footnotes" xr:uid="{9E87531E-835B-4AEB-B14F-D1B67DC4626A}"/>
    <hyperlink ref="A106" location="'Planet Positive '!A326" display="Litres of detergent purchased for product washing [1]" xr:uid="{CF410994-F373-4EF7-B90F-C9B5B1FC3EE3}"/>
    <hyperlink ref="B326" location="'Planet Positive '!A106" display="[1] Prior to FY21 The data collection method was manual, where there were data gaps, the volume of detergent was estimated based on percentage reported in the previous year.  From FY21 onwards the process for data collection has improved, using data from procurement spend, however this has meant that it is not possible to split by product type. " xr:uid="{253E3D67-04D6-4F15-A517-A805B8F34B72}"/>
    <hyperlink ref="J146:K146" location="'Planet Positive '!A327" display="Scope 2 &quot;Market Based&quot; [2]" xr:uid="{B1CC07B5-FCE1-450D-86FA-77F6BA28C1E2}"/>
    <hyperlink ref="B327" location="'Planet Positive '!J146" display="[2] From FY19 Brambles report GHG Protocol 'Market-based' Scope 2 emissions separately to 'Location-Based' Scope 2 emissions.  'Market-Based' Scope 2 emissions include the purchase of electricity through renewable energy contracts, Renewable Energy Certificates and onsite power generation.  'Location-based' emissions reported cover all electricity that is purchased through a 3rd party supplier and not under a renewable electricity contract/certificate" xr:uid="{1AFC76F6-8578-4E5A-921F-F5D1886EF0A9}"/>
    <hyperlink ref="B163" location="'Planet Positive '!A328" display="FY20 Rebased [3]" xr:uid="{6C7F5DD9-0BF9-4774-BEB6-E1A834A6C621}"/>
    <hyperlink ref="B328" location="'Planet Positive '!A163" display="[3] In FY21 Brambles started a new reporting period with new materiality study including locations in scope that contribute to 95% of Brambles Emissions.  FY20 was therefore re-baselined to take this into account." xr:uid="{78FCCAED-821C-4479-A20E-EC069E738952}"/>
    <hyperlink ref="B170" location="'Planet Positive '!A329" display="FY20 [4]" xr:uid="{5F8D5FA9-BC9D-4E8B-BF8C-7EF27E3F18EA}"/>
    <hyperlink ref="B329" location="'Planet Positive '!A170" display="[4] Terra Joules have been recalculated FY20 for consistency with FY21" xr:uid="{D172B8D3-9661-48F6-A941-0889BDBD2FAB}"/>
    <hyperlink ref="B185" location="'Planet Positive '!A330" display="(inc IFCO) [5]" xr:uid="{9F2562C7-8768-4532-89E5-0A2CF8CCE936}"/>
    <hyperlink ref="B330" location="'Planet Positive '!A185" display="[5] IFCO locations based on FY18 Inscope locations" xr:uid="{C393907E-7B61-42AD-AEB2-D8076B33D591}"/>
    <hyperlink ref="B193" location="'Planet Positive '!A331" display="Energy split [6]" xr:uid="{18C2B4FB-FB1F-4A6A-B8D2-E328C9DC9843}"/>
    <hyperlink ref="B196" location="'Planet Positive '!A332" display="c) Total renewable Energy (wind, solar, biomass etc.) [7]" xr:uid="{AEB4E200-A34C-4E24-8A16-8DBC4C1FDE74}"/>
    <hyperlink ref="B331" location="'Planet Positive '!A193" display="[6] Pareto methodology requires 5% to be added to total." xr:uid="{5EEA55D7-45A1-4245-B2AB-482EE6351BD5}"/>
    <hyperlink ref="B332" location="'Planet Positive '!A196" display="[7] Renewable electricity includes Energy Attribute Certificates (EACs) purchased" xr:uid="{8437C749-DD1B-4390-AE12-56D7AE8835B3}"/>
    <hyperlink ref="B207" location="'Planet Positive '!A333" display="Reported (TEU Intensity) [8]" xr:uid="{B398BFEC-ABB0-437A-9103-EF47EB8BD3B7}"/>
    <hyperlink ref="B333" location="'Planet Positive '!A207" display="[8] New methodology using TEUs (Transport Equivalent Units) to calculate intensity - refer to supplementary information for more detail" xr:uid="{C9066158-9DC9-475F-A9F2-2E7D1C057061}"/>
    <hyperlink ref="E220" location="'Planet Positive '!A334" display="FY21 [10]" xr:uid="{BB7077F7-D6D0-4E14-B2AB-DCECB46DC414}"/>
    <hyperlink ref="B335" location="'Planet Positive '!A219" display="[10] FY21's scope 3 breakdown is unassured as of 20.06.2022 and could be subject to change until it goes through assurance for FY22's sustainability review." xr:uid="{18D7CC9E-2774-4733-9791-D17F70E4DB3B}"/>
    <hyperlink ref="B337" location="'Planet Positive '!A235" display="[12] These credits are purchased as part of an offering of Carbon Neutral Pallets for our Customers in Europe.  The Tonnes CO2e offset by these credits is not deducted from the Scope 1, 2 or 3 emissions reported centrally" xr:uid="{67551B23-AF6C-4925-B345-3CDDB04B294C}"/>
    <hyperlink ref="B339" location="'Planet Positive '!A244" display="[14] As per methodology, EACs are purchased to cover the majority of residual scope 2 emissions.  " xr:uid="{9EBD3BEF-C5E7-419B-8099-1929952DFC3E}"/>
    <hyperlink ref="B340" location="'Planet Positive '!A145" display="[15] No purchases for IFCO " xr:uid="{2AC5DD57-D6ED-4A9D-AD34-708CF8EE9AD7}"/>
    <hyperlink ref="B231" location="'Planet Positive '!A336" display="SBTi Scope 3 Target Category [11]" xr:uid="{4E008BEF-0CF6-4371-AECE-7DAF8C632116}"/>
    <hyperlink ref="A235" location="'Planet Positive '!A337" display="Offset Credits Purchased - Used towards Carbon Neutral Pallets[12]" xr:uid="{02D6F122-8566-4C3F-BE81-44056F53D8C5}"/>
    <hyperlink ref="C240" location="'Planet Positive '!A337" display=" 8,699[13] " xr:uid="{8286AB59-B986-41B0-AA8E-BD5DB872D21B}"/>
    <hyperlink ref="B338" location="'Planet Positive '!C240" display="[13] Until FY21, carbon credits were purchased in alignment with a calendar year instead of a fiscal year. The number included for FY20 would correspond to the carbon credits purchased during FY20 to cover the calendar year 2019." xr:uid="{371C716E-1B91-429D-BEB2-F2D54C375249}"/>
    <hyperlink ref="A244" location="'Planet Positive '!A339" display="Renewable Energy Certificate Credits Purchased towards Scope 2 Carbon Neutrality [14] " xr:uid="{4D0ABC20-615C-443E-8F12-84C2074024E3}"/>
    <hyperlink ref="B245" location="'Planet Positive '!A339" display="Year [15]" xr:uid="{20AEDB7A-CA3C-49D0-A328-6536E16752EA}"/>
    <hyperlink ref="B299" location="'Planet Positive '!A342" display="Year [17]" xr:uid="{AAD3FBFC-D688-438A-A172-0A71F3F6D5AC}"/>
    <hyperlink ref="A145" location="'Planet Positive '!A341" display="Kilotonnes (kt) of CO2-e [16 &amp; 17] and Terajoules (TJ) of Energy (Scope 1 and 2) RE100 aligned" xr:uid="{96DC96CE-5103-4666-AEAA-48013345924C}"/>
    <hyperlink ref="B341" location="'Planet Positive '!A145" display="[16] Carbon dioxide equivalent (CO2-e) is the universal unit of measurement to indicate the full global warming potential (GWP) of a particular greenhouse gas emission. It takes into account the GWP of each of the six Kyoto greenhouse gases, and expresses " xr:uid="{033B9BE0-03B9-4312-B8EE-61723178E214}"/>
    <hyperlink ref="B334" location="'Planet Positive '!E220" display="[9] From FY20 full value chain emissions were assessed, historically, only category 9 and 10 material sources were assessed.  Measurement in FY19 and prior were outsourced service centres and outsourced transport.  " xr:uid="{F7B7A019-511A-4C7A-95E6-DAC1AB02A12E}"/>
    <hyperlink ref="B336" location="'Planet Positive '!A231" display="[11] Brambles have public and validated Science Based Targets that contain our material value chain categories of Cat.2 Captial Goods, Cat.4 Upstream transportation and Distribution, Cat.5 Waste generated in operations, Cat.9 Downstream transportation and distribution and Cat.10 Processing of sold products" xr:uid="{9253D10A-9135-4EA1-ADED-C21EFCF3FBAF}"/>
    <hyperlink ref="A219" location="'Planet Positive '!A334" display="Science Based Targets Scope 3 Emissions (kt-CO2e) [9]" xr:uid="{12E254A7-7D07-4ABC-B2A1-D34EB9FB4A40}"/>
    <hyperlink ref="B342" location="'Planet Positive '!A299" display="[17] Scope 1,2 and 3 emisssions have been restated for FY20, FY21 and FY22 to reflect revised assumptions and improved data quality. The restatements are not reflected in this table. For more information refer to the FY23 Supplementary Information document." xr:uid="{06621FB9-0EC1-48D5-B657-36939E6BE4A8}"/>
  </hyperlinks>
  <pageMargins left="0.7" right="0.7" top="0.75" bottom="0.75" header="0.3" footer="0.3"/>
  <pageSetup orientation="portrait" r:id="rId1"/>
  <headerFooter>
    <oddFooter>&amp;C_x000D_&amp;1#&amp;"Calibri"&amp;8&amp;K000000 Classification: General</oddFooter>
  </headerFooter>
  <drawing r:id="rId2"/>
  <legacyDrawing r:id="rId3"/>
  <oleObjects>
    <mc:AlternateContent xmlns:mc="http://schemas.openxmlformats.org/markup-compatibility/2006">
      <mc:Choice Requires="x14">
        <oleObject progId="Bitmap Image" shapeId="7169" r:id="rId4">
          <objectPr defaultSize="0" autoPict="0" r:id="rId5">
            <anchor moveWithCells="1">
              <from>
                <xdr:col>7</xdr:col>
                <xdr:colOff>180975</xdr:colOff>
                <xdr:row>0</xdr:row>
                <xdr:rowOff>57150</xdr:rowOff>
              </from>
              <to>
                <xdr:col>8</xdr:col>
                <xdr:colOff>57150</xdr:colOff>
                <xdr:row>0</xdr:row>
                <xdr:rowOff>714375</xdr:rowOff>
              </to>
            </anchor>
          </objectPr>
        </oleObject>
      </mc:Choice>
      <mc:Fallback>
        <oleObject progId="Bitmap Image" shapeId="7169"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6" tint="0.39997558519241921"/>
  </sheetPr>
  <dimension ref="A1:O181"/>
  <sheetViews>
    <sheetView showGridLines="0" workbookViewId="0">
      <selection activeCell="J143" sqref="J143"/>
    </sheetView>
  </sheetViews>
  <sheetFormatPr defaultColWidth="11" defaultRowHeight="15.75"/>
  <cols>
    <col min="1" max="1" width="3" customWidth="1"/>
    <col min="2" max="2" width="18.5" customWidth="1"/>
    <col min="3" max="3" width="18" bestFit="1" customWidth="1"/>
    <col min="4" max="4" width="12" customWidth="1"/>
    <col min="5" max="5" width="13" customWidth="1"/>
    <col min="6" max="6" width="15.5" customWidth="1"/>
    <col min="7" max="7" width="13" customWidth="1"/>
  </cols>
  <sheetData>
    <row r="1" spans="1:14" s="10" customFormat="1">
      <c r="A1" s="9"/>
      <c r="F1" s="668" t="s">
        <v>172</v>
      </c>
      <c r="G1" s="668"/>
      <c r="H1" s="668"/>
      <c r="I1" s="668"/>
    </row>
    <row r="2" spans="1:14" s="10" customFormat="1" ht="30.75">
      <c r="B2" s="64" t="s">
        <v>173</v>
      </c>
      <c r="C2" s="11"/>
      <c r="D2" s="12"/>
      <c r="E2" s="12"/>
      <c r="F2" s="668"/>
      <c r="G2" s="668"/>
      <c r="H2" s="668"/>
      <c r="I2" s="668"/>
      <c r="K2" s="9"/>
    </row>
    <row r="3" spans="1:14">
      <c r="A3" s="6"/>
      <c r="B3" t="s">
        <v>1</v>
      </c>
      <c r="C3" s="83"/>
      <c r="D3" s="6"/>
      <c r="E3" s="6"/>
      <c r="F3" s="6"/>
      <c r="G3" s="6"/>
      <c r="H3" s="6"/>
      <c r="I3" s="6"/>
      <c r="J3" s="6"/>
      <c r="K3" s="6"/>
      <c r="L3" s="6"/>
    </row>
    <row r="4" spans="1:14">
      <c r="A4" s="6"/>
      <c r="B4" t="s">
        <v>174</v>
      </c>
      <c r="C4" s="5"/>
      <c r="D4" s="6"/>
      <c r="E4" s="6"/>
      <c r="F4" s="6"/>
      <c r="G4" s="6"/>
      <c r="H4" s="6"/>
      <c r="I4" s="6"/>
      <c r="J4" s="6"/>
      <c r="K4" s="6"/>
      <c r="L4" s="6"/>
    </row>
    <row r="5" spans="1:14">
      <c r="A5" s="6"/>
      <c r="B5" t="s">
        <v>175</v>
      </c>
    </row>
    <row r="6" spans="1:14" ht="35.1" customHeight="1">
      <c r="A6" s="6"/>
      <c r="B6" s="663" t="s">
        <v>176</v>
      </c>
      <c r="C6" s="663"/>
      <c r="D6" s="663"/>
      <c r="E6" s="663"/>
      <c r="F6" s="663"/>
      <c r="G6" s="663"/>
      <c r="H6" s="663"/>
      <c r="I6" s="663"/>
      <c r="J6" s="663"/>
      <c r="K6" s="663"/>
      <c r="L6" s="663"/>
      <c r="M6" s="663"/>
      <c r="N6" s="663"/>
    </row>
    <row r="7" spans="1:14" s="10" customFormat="1" ht="17.25">
      <c r="B7" s="66" t="s">
        <v>4</v>
      </c>
    </row>
    <row r="8" spans="1:14">
      <c r="B8" s="67" t="s">
        <v>34</v>
      </c>
      <c r="D8" s="67" t="s">
        <v>177</v>
      </c>
      <c r="G8" s="67" t="s">
        <v>178</v>
      </c>
    </row>
    <row r="9" spans="1:14">
      <c r="B9" s="63" t="s">
        <v>179</v>
      </c>
      <c r="D9" s="63" t="s">
        <v>180</v>
      </c>
      <c r="G9" s="63" t="s">
        <v>181</v>
      </c>
    </row>
    <row r="10" spans="1:14">
      <c r="B10" s="63" t="s">
        <v>182</v>
      </c>
      <c r="D10" s="63" t="s">
        <v>14</v>
      </c>
    </row>
    <row r="11" spans="1:14">
      <c r="B11" s="63" t="s">
        <v>183</v>
      </c>
      <c r="D11" s="63" t="s">
        <v>184</v>
      </c>
    </row>
    <row r="13" spans="1:14" s="10" customFormat="1" ht="25.5">
      <c r="B13" s="66" t="s">
        <v>34</v>
      </c>
      <c r="C13" s="13"/>
      <c r="D13" s="12"/>
      <c r="E13" s="12"/>
      <c r="F13" s="12"/>
      <c r="G13" s="12"/>
      <c r="H13" s="12"/>
      <c r="I13" s="12"/>
      <c r="J13" s="12"/>
      <c r="K13" s="19"/>
      <c r="L13" s="19"/>
    </row>
    <row r="14" spans="1:14" ht="6" customHeight="1">
      <c r="C14" s="23"/>
      <c r="D14" s="15"/>
      <c r="E14" s="15"/>
      <c r="F14" s="15"/>
      <c r="G14" s="15"/>
      <c r="H14" s="15"/>
      <c r="I14" s="15"/>
      <c r="J14" s="15"/>
      <c r="K14" s="7"/>
      <c r="L14" s="7"/>
    </row>
    <row r="15" spans="1:14" s="10" customFormat="1" ht="17.25">
      <c r="B15" s="16" t="s">
        <v>179</v>
      </c>
      <c r="C15" s="16"/>
      <c r="D15" s="12"/>
      <c r="E15" s="12"/>
      <c r="F15" s="12"/>
      <c r="G15" s="12"/>
      <c r="H15" s="12"/>
      <c r="I15" s="12"/>
      <c r="J15" s="12"/>
      <c r="K15" s="12"/>
      <c r="L15" s="19"/>
    </row>
    <row r="16" spans="1:14" ht="6" customHeight="1" thickBot="1">
      <c r="B16" s="14"/>
      <c r="C16" s="14"/>
      <c r="D16" s="15"/>
      <c r="E16" s="7"/>
      <c r="F16" s="15"/>
      <c r="G16" s="15"/>
      <c r="H16" s="15"/>
      <c r="I16" s="15"/>
      <c r="J16" s="15"/>
      <c r="K16" s="15"/>
      <c r="L16" s="7"/>
    </row>
    <row r="17" spans="2:15" ht="28.5">
      <c r="B17" s="261" t="s">
        <v>110</v>
      </c>
      <c r="C17" s="261" t="s">
        <v>44</v>
      </c>
      <c r="D17" s="261" t="s">
        <v>45</v>
      </c>
      <c r="E17" s="261" t="s">
        <v>185</v>
      </c>
      <c r="F17" s="261" t="s">
        <v>72</v>
      </c>
      <c r="G17" s="261" t="s">
        <v>186</v>
      </c>
      <c r="H17" s="261" t="s">
        <v>187</v>
      </c>
      <c r="I17" s="261" t="s">
        <v>188</v>
      </c>
      <c r="J17" s="7"/>
      <c r="K17" s="7"/>
      <c r="L17" s="7"/>
      <c r="M17" s="7"/>
    </row>
    <row r="18" spans="2:15" ht="17.25">
      <c r="B18" s="17" t="s">
        <v>189</v>
      </c>
      <c r="C18" s="70"/>
      <c r="D18" s="70"/>
      <c r="E18" s="70"/>
      <c r="F18" s="70"/>
      <c r="G18" s="71"/>
      <c r="H18" s="71"/>
      <c r="I18" s="71"/>
      <c r="J18" s="15"/>
      <c r="K18" s="15"/>
      <c r="L18" s="7"/>
      <c r="M18" s="7"/>
      <c r="N18" s="1"/>
      <c r="O18" s="1"/>
    </row>
    <row r="19" spans="2:15" ht="17.25">
      <c r="B19" s="17" t="s">
        <v>190</v>
      </c>
      <c r="C19" s="70"/>
      <c r="D19" s="70"/>
      <c r="E19" s="70"/>
      <c r="F19" s="70"/>
      <c r="G19" s="71"/>
      <c r="H19" s="71"/>
      <c r="I19" s="71"/>
      <c r="J19" s="15"/>
      <c r="K19" s="15"/>
      <c r="L19" s="7"/>
      <c r="M19" s="7"/>
      <c r="N19" s="1"/>
      <c r="O19" s="1"/>
    </row>
    <row r="20" spans="2:15" ht="17.25">
      <c r="B20" s="17" t="s">
        <v>191</v>
      </c>
      <c r="C20" s="70"/>
      <c r="D20" s="70"/>
      <c r="E20" s="70"/>
      <c r="F20" s="70"/>
      <c r="G20" s="71"/>
      <c r="H20" s="71"/>
      <c r="I20" s="71"/>
      <c r="J20" s="15"/>
      <c r="K20" s="15"/>
      <c r="L20" s="7"/>
      <c r="M20" s="7"/>
      <c r="N20" s="1"/>
      <c r="O20" s="1"/>
    </row>
    <row r="21" spans="2:15" ht="28.5">
      <c r="B21" s="17" t="s">
        <v>192</v>
      </c>
      <c r="C21" s="70"/>
      <c r="D21" s="70"/>
      <c r="E21" s="70"/>
      <c r="F21" s="70"/>
      <c r="G21" s="71"/>
      <c r="H21" s="71"/>
      <c r="I21" s="71"/>
      <c r="J21" s="15"/>
      <c r="K21" s="15"/>
      <c r="L21" s="7"/>
      <c r="M21" s="7"/>
      <c r="N21" s="1"/>
      <c r="O21" s="1"/>
    </row>
    <row r="22" spans="2:15" ht="17.25">
      <c r="B22" s="17" t="s">
        <v>193</v>
      </c>
      <c r="C22" s="70"/>
      <c r="D22" s="70"/>
      <c r="E22" s="70"/>
      <c r="F22" s="70"/>
      <c r="G22" s="71"/>
      <c r="H22" s="71"/>
      <c r="I22" s="71"/>
      <c r="J22" s="15"/>
      <c r="K22" s="15"/>
      <c r="L22" s="7"/>
      <c r="M22" s="7"/>
      <c r="N22" s="1"/>
      <c r="O22" s="1"/>
    </row>
    <row r="23" spans="2:15" ht="17.25">
      <c r="B23" s="17" t="s">
        <v>194</v>
      </c>
      <c r="C23" s="70"/>
      <c r="D23" s="70"/>
      <c r="E23" s="70"/>
      <c r="F23" s="70"/>
      <c r="G23" s="71"/>
      <c r="H23" s="71"/>
      <c r="I23" s="71"/>
      <c r="J23" s="15"/>
      <c r="K23" s="15"/>
      <c r="L23" s="7"/>
      <c r="M23" s="7"/>
      <c r="N23" s="1"/>
      <c r="O23" s="1"/>
    </row>
    <row r="24" spans="2:15" ht="18" thickBot="1">
      <c r="B24" s="18" t="s">
        <v>49</v>
      </c>
      <c r="C24" s="55">
        <f>SUM(C18:C23)</f>
        <v>0</v>
      </c>
      <c r="D24" s="55">
        <f>SUM(D18:D23)</f>
        <v>0</v>
      </c>
      <c r="E24" s="55">
        <v>0</v>
      </c>
      <c r="F24" s="55">
        <f t="shared" ref="F24" si="0">SUM(F18:F23)</f>
        <v>0</v>
      </c>
      <c r="G24" s="55">
        <f t="shared" ref="G24" si="1">SUM(G18:G23)</f>
        <v>0</v>
      </c>
      <c r="H24" s="55">
        <f t="shared" ref="H24" si="2">SUM(H18:H23)</f>
        <v>0</v>
      </c>
      <c r="I24" s="55">
        <f t="shared" ref="I24" si="3">SUM(I18:I23)</f>
        <v>0</v>
      </c>
      <c r="J24" s="15"/>
      <c r="K24" s="15"/>
      <c r="L24" s="7"/>
      <c r="M24" s="7"/>
    </row>
    <row r="25" spans="2:15" ht="17.25">
      <c r="B25" s="14"/>
      <c r="C25" s="14"/>
      <c r="D25" s="7"/>
      <c r="E25" s="15"/>
      <c r="F25" s="15"/>
      <c r="G25" s="15"/>
      <c r="H25" s="15"/>
      <c r="I25" s="15"/>
      <c r="J25" s="15"/>
      <c r="K25" s="7"/>
      <c r="L25" s="7"/>
    </row>
    <row r="26" spans="2:15" s="10" customFormat="1" ht="17.25">
      <c r="B26" s="16" t="s">
        <v>182</v>
      </c>
      <c r="C26" s="16"/>
      <c r="D26" s="12"/>
      <c r="E26" s="12"/>
      <c r="F26" s="12"/>
      <c r="G26" s="12"/>
      <c r="H26" s="12"/>
      <c r="I26" s="12"/>
      <c r="J26" s="12"/>
      <c r="K26" s="12"/>
      <c r="L26" s="19"/>
    </row>
    <row r="27" spans="2:15" ht="6" customHeight="1" thickBot="1">
      <c r="B27" s="14"/>
      <c r="C27" s="14"/>
      <c r="D27" s="15"/>
      <c r="E27" s="7"/>
      <c r="F27" s="15"/>
      <c r="G27" s="15"/>
      <c r="H27" s="15"/>
      <c r="I27" s="15"/>
      <c r="J27" s="15"/>
      <c r="K27" s="15"/>
      <c r="L27" s="7"/>
    </row>
    <row r="28" spans="2:15" ht="28.5">
      <c r="B28" s="261" t="s">
        <v>110</v>
      </c>
      <c r="C28" s="261" t="s">
        <v>44</v>
      </c>
      <c r="D28" s="261" t="s">
        <v>45</v>
      </c>
      <c r="E28" s="261" t="s">
        <v>185</v>
      </c>
      <c r="F28" s="261" t="s">
        <v>72</v>
      </c>
      <c r="G28" s="261" t="s">
        <v>186</v>
      </c>
      <c r="H28" s="261" t="s">
        <v>187</v>
      </c>
      <c r="I28" s="261" t="s">
        <v>188</v>
      </c>
      <c r="J28" s="7"/>
      <c r="K28" s="7"/>
      <c r="L28" s="7"/>
      <c r="M28" s="7"/>
    </row>
    <row r="29" spans="2:15" ht="17.25">
      <c r="B29" s="17" t="s">
        <v>189</v>
      </c>
      <c r="C29" s="70"/>
      <c r="D29" s="70"/>
      <c r="E29" s="70"/>
      <c r="F29" s="70"/>
      <c r="G29" s="71"/>
      <c r="H29" s="71"/>
      <c r="I29" s="71"/>
      <c r="J29" s="15"/>
      <c r="K29" s="15"/>
      <c r="L29" s="7"/>
      <c r="M29" s="7"/>
      <c r="N29" s="1"/>
      <c r="O29" s="1"/>
    </row>
    <row r="30" spans="2:15" ht="17.25">
      <c r="B30" s="17" t="s">
        <v>190</v>
      </c>
      <c r="C30" s="70"/>
      <c r="D30" s="70"/>
      <c r="E30" s="70"/>
      <c r="F30" s="70"/>
      <c r="G30" s="71"/>
      <c r="H30" s="71"/>
      <c r="I30" s="71"/>
      <c r="J30" s="15"/>
      <c r="K30" s="15"/>
      <c r="L30" s="7"/>
      <c r="M30" s="7"/>
      <c r="N30" s="1"/>
      <c r="O30" s="1"/>
    </row>
    <row r="31" spans="2:15" ht="17.25">
      <c r="B31" s="17" t="s">
        <v>191</v>
      </c>
      <c r="C31" s="70"/>
      <c r="D31" s="70"/>
      <c r="E31" s="70"/>
      <c r="F31" s="70"/>
      <c r="G31" s="71"/>
      <c r="H31" s="71"/>
      <c r="I31" s="71"/>
      <c r="J31" s="15"/>
      <c r="K31" s="15"/>
      <c r="L31" s="7"/>
      <c r="M31" s="7"/>
      <c r="N31" s="1"/>
      <c r="O31" s="1"/>
    </row>
    <row r="32" spans="2:15" ht="28.5">
      <c r="B32" s="17" t="s">
        <v>192</v>
      </c>
      <c r="C32" s="70"/>
      <c r="D32" s="70"/>
      <c r="E32" s="70"/>
      <c r="F32" s="70"/>
      <c r="G32" s="71"/>
      <c r="H32" s="71"/>
      <c r="I32" s="71"/>
      <c r="J32" s="15"/>
      <c r="K32" s="15"/>
      <c r="L32" s="7"/>
      <c r="M32" s="7"/>
      <c r="N32" s="1"/>
      <c r="O32" s="1"/>
    </row>
    <row r="33" spans="2:15" ht="17.25">
      <c r="B33" s="17" t="s">
        <v>193</v>
      </c>
      <c r="C33" s="70"/>
      <c r="D33" s="70"/>
      <c r="E33" s="70"/>
      <c r="F33" s="70"/>
      <c r="G33" s="71"/>
      <c r="H33" s="71"/>
      <c r="I33" s="71"/>
      <c r="J33" s="15"/>
      <c r="K33" s="15"/>
      <c r="L33" s="7"/>
      <c r="M33" s="7"/>
      <c r="N33" s="1"/>
      <c r="O33" s="1"/>
    </row>
    <row r="34" spans="2:15" ht="17.25">
      <c r="B34" s="17" t="s">
        <v>194</v>
      </c>
      <c r="C34" s="70"/>
      <c r="D34" s="70"/>
      <c r="E34" s="70"/>
      <c r="F34" s="70"/>
      <c r="G34" s="71"/>
      <c r="H34" s="71"/>
      <c r="I34" s="71"/>
      <c r="J34" s="15"/>
      <c r="K34" s="15"/>
      <c r="L34" s="7"/>
      <c r="M34" s="7"/>
      <c r="N34" s="1"/>
      <c r="O34" s="1"/>
    </row>
    <row r="35" spans="2:15" ht="18" thickBot="1">
      <c r="B35" s="18" t="s">
        <v>49</v>
      </c>
      <c r="C35" s="55">
        <f>SUM(C29:C34)</f>
        <v>0</v>
      </c>
      <c r="D35" s="55">
        <f>SUM(D29:D34)</f>
        <v>0</v>
      </c>
      <c r="E35" s="55"/>
      <c r="F35" s="55">
        <f t="shared" ref="F35:I35" si="4">SUM(F29:F34)</f>
        <v>0</v>
      </c>
      <c r="G35" s="55">
        <f t="shared" si="4"/>
        <v>0</v>
      </c>
      <c r="H35" s="55">
        <f t="shared" si="4"/>
        <v>0</v>
      </c>
      <c r="I35" s="55">
        <f t="shared" si="4"/>
        <v>0</v>
      </c>
      <c r="J35" s="15"/>
      <c r="K35" s="15"/>
      <c r="L35" s="7"/>
      <c r="M35" s="7"/>
    </row>
    <row r="36" spans="2:15" ht="17.25">
      <c r="B36" s="111"/>
      <c r="C36" s="124"/>
      <c r="D36" s="124"/>
      <c r="E36" s="124"/>
      <c r="F36" s="124"/>
      <c r="G36" s="124"/>
      <c r="H36" s="124"/>
      <c r="I36" s="15"/>
      <c r="J36" s="15"/>
      <c r="K36" s="7"/>
      <c r="L36" s="7"/>
    </row>
    <row r="37" spans="2:15" s="10" customFormat="1" ht="17.25">
      <c r="B37" s="16" t="s">
        <v>183</v>
      </c>
      <c r="C37" s="16"/>
      <c r="D37" s="12"/>
      <c r="E37" s="12"/>
      <c r="F37" s="12"/>
      <c r="G37" s="12"/>
      <c r="H37" s="12"/>
      <c r="I37" s="12"/>
      <c r="J37" s="12"/>
      <c r="K37" s="12"/>
      <c r="L37" s="19"/>
    </row>
    <row r="38" spans="2:15" ht="6" customHeight="1" thickBot="1">
      <c r="B38" s="14"/>
      <c r="C38" s="14"/>
      <c r="D38" s="15"/>
      <c r="E38" s="7"/>
      <c r="F38" s="15"/>
      <c r="G38" s="15"/>
      <c r="H38" s="15"/>
      <c r="I38" s="15"/>
      <c r="J38" s="15"/>
      <c r="K38" s="15"/>
      <c r="L38" s="7"/>
    </row>
    <row r="39" spans="2:15" ht="28.5">
      <c r="B39" s="261" t="s">
        <v>110</v>
      </c>
      <c r="C39" s="261" t="s">
        <v>44</v>
      </c>
      <c r="D39" s="261" t="s">
        <v>45</v>
      </c>
      <c r="E39" s="261" t="s">
        <v>185</v>
      </c>
      <c r="F39" s="261" t="s">
        <v>72</v>
      </c>
      <c r="G39" s="261" t="s">
        <v>186</v>
      </c>
      <c r="H39" s="261" t="s">
        <v>187</v>
      </c>
      <c r="I39" s="261" t="s">
        <v>188</v>
      </c>
      <c r="J39" s="7"/>
      <c r="K39" s="7"/>
      <c r="L39" s="7"/>
      <c r="M39" s="7"/>
    </row>
    <row r="40" spans="2:15" ht="17.25">
      <c r="B40" s="17" t="s">
        <v>189</v>
      </c>
      <c r="C40" s="70"/>
      <c r="D40" s="70"/>
      <c r="E40" s="70"/>
      <c r="F40" s="70"/>
      <c r="G40" s="71"/>
      <c r="H40" s="71"/>
      <c r="I40" s="71"/>
      <c r="J40" s="15"/>
      <c r="K40" s="15"/>
      <c r="L40" s="7"/>
      <c r="M40" s="7"/>
      <c r="N40" s="1"/>
      <c r="O40" s="1"/>
    </row>
    <row r="41" spans="2:15" ht="17.25">
      <c r="B41" s="17" t="s">
        <v>190</v>
      </c>
      <c r="C41" s="70"/>
      <c r="D41" s="70"/>
      <c r="E41" s="70"/>
      <c r="F41" s="70"/>
      <c r="G41" s="71"/>
      <c r="H41" s="71"/>
      <c r="I41" s="71"/>
      <c r="J41" s="15"/>
      <c r="K41" s="15"/>
      <c r="L41" s="7"/>
      <c r="M41" s="7"/>
      <c r="N41" s="1"/>
      <c r="O41" s="1"/>
    </row>
    <row r="42" spans="2:15" ht="17.25">
      <c r="B42" s="17" t="s">
        <v>191</v>
      </c>
      <c r="C42" s="70"/>
      <c r="D42" s="70"/>
      <c r="E42" s="70"/>
      <c r="F42" s="70"/>
      <c r="G42" s="71"/>
      <c r="H42" s="71"/>
      <c r="I42" s="71"/>
      <c r="J42" s="15"/>
      <c r="K42" s="15"/>
      <c r="L42" s="7"/>
      <c r="M42" s="7"/>
      <c r="N42" s="1"/>
      <c r="O42" s="1"/>
    </row>
    <row r="43" spans="2:15" ht="28.5">
      <c r="B43" s="17" t="s">
        <v>192</v>
      </c>
      <c r="C43" s="70"/>
      <c r="D43" s="70"/>
      <c r="E43" s="70"/>
      <c r="F43" s="70"/>
      <c r="G43" s="71"/>
      <c r="H43" s="71"/>
      <c r="I43" s="71"/>
      <c r="J43" s="15"/>
      <c r="K43" s="15"/>
      <c r="L43" s="7"/>
      <c r="M43" s="7"/>
      <c r="N43" s="1"/>
      <c r="O43" s="1"/>
    </row>
    <row r="44" spans="2:15" ht="17.25">
      <c r="B44" s="17" t="s">
        <v>193</v>
      </c>
      <c r="C44" s="70"/>
      <c r="D44" s="70"/>
      <c r="E44" s="70"/>
      <c r="F44" s="70"/>
      <c r="G44" s="71"/>
      <c r="H44" s="71"/>
      <c r="I44" s="71"/>
      <c r="J44" s="15"/>
      <c r="K44" s="15"/>
      <c r="L44" s="7"/>
      <c r="M44" s="7"/>
      <c r="N44" s="1"/>
      <c r="O44" s="1"/>
    </row>
    <row r="45" spans="2:15" ht="17.25">
      <c r="B45" s="17" t="s">
        <v>194</v>
      </c>
      <c r="C45" s="70"/>
      <c r="D45" s="70"/>
      <c r="E45" s="70"/>
      <c r="F45" s="70"/>
      <c r="G45" s="71"/>
      <c r="H45" s="71"/>
      <c r="I45" s="71"/>
      <c r="J45" s="15"/>
      <c r="K45" s="15"/>
      <c r="L45" s="7"/>
      <c r="M45" s="7"/>
      <c r="N45" s="1"/>
      <c r="O45" s="1"/>
    </row>
    <row r="46" spans="2:15" ht="18" thickBot="1">
      <c r="B46" s="18" t="s">
        <v>49</v>
      </c>
      <c r="C46" s="55">
        <f>SUM(C40:C45)</f>
        <v>0</v>
      </c>
      <c r="D46" s="55">
        <f>SUM(D40:D45)</f>
        <v>0</v>
      </c>
      <c r="E46" s="55"/>
      <c r="F46" s="55">
        <f t="shared" ref="F46:I46" si="5">SUM(F40:F45)</f>
        <v>0</v>
      </c>
      <c r="G46" s="55">
        <f t="shared" si="5"/>
        <v>0</v>
      </c>
      <c r="H46" s="55">
        <f t="shared" si="5"/>
        <v>0</v>
      </c>
      <c r="I46" s="55">
        <f t="shared" si="5"/>
        <v>0</v>
      </c>
      <c r="J46" s="15"/>
      <c r="K46" s="15"/>
      <c r="L46" s="15"/>
      <c r="M46" s="15"/>
      <c r="N46" s="1"/>
    </row>
    <row r="47" spans="2:15" ht="17.25">
      <c r="B47" s="111"/>
      <c r="C47" s="124"/>
      <c r="D47" s="124"/>
      <c r="E47" s="124"/>
      <c r="F47" s="124"/>
      <c r="G47" s="124"/>
      <c r="H47" s="124"/>
      <c r="I47" s="15"/>
      <c r="J47" s="15"/>
      <c r="K47" s="15"/>
      <c r="L47" s="15"/>
      <c r="M47" s="1"/>
    </row>
    <row r="48" spans="2:15" s="10" customFormat="1" ht="20.25">
      <c r="B48" s="65" t="s">
        <v>177</v>
      </c>
      <c r="C48" s="65"/>
      <c r="D48" s="12"/>
      <c r="E48" s="12"/>
      <c r="F48" s="12"/>
      <c r="G48" s="12"/>
      <c r="H48" s="12"/>
      <c r="I48" s="12"/>
      <c r="J48" s="12"/>
      <c r="K48" s="19"/>
      <c r="L48" s="19"/>
    </row>
    <row r="49" spans="2:15" ht="6" customHeight="1">
      <c r="B49" s="14"/>
      <c r="C49" s="14"/>
      <c r="D49" s="15"/>
      <c r="E49" s="15"/>
      <c r="F49" s="15"/>
      <c r="G49" s="15"/>
      <c r="H49" s="15"/>
      <c r="I49" s="15"/>
      <c r="J49" s="15"/>
      <c r="K49" s="7"/>
      <c r="L49" s="7"/>
    </row>
    <row r="50" spans="2:15" s="10" customFormat="1" ht="17.25">
      <c r="B50" s="16" t="s">
        <v>180</v>
      </c>
      <c r="C50" s="16"/>
      <c r="D50" s="12"/>
      <c r="E50" s="12"/>
      <c r="F50" s="12"/>
      <c r="G50" s="12"/>
      <c r="H50" s="12"/>
      <c r="I50" s="12"/>
      <c r="J50" s="12"/>
      <c r="K50" s="12"/>
      <c r="L50" s="19"/>
    </row>
    <row r="51" spans="2:15" ht="6" customHeight="1" thickBot="1">
      <c r="B51" s="14"/>
      <c r="C51" s="14"/>
      <c r="D51" s="15"/>
      <c r="E51" s="7"/>
      <c r="F51" s="15"/>
      <c r="G51" s="15"/>
      <c r="H51" s="15"/>
      <c r="I51" s="15"/>
      <c r="J51" s="15"/>
      <c r="K51" s="15"/>
      <c r="L51" s="7"/>
    </row>
    <row r="52" spans="2:15" ht="28.5">
      <c r="B52" s="261" t="s">
        <v>110</v>
      </c>
      <c r="C52" s="261" t="s">
        <v>44</v>
      </c>
      <c r="D52" s="261" t="s">
        <v>45</v>
      </c>
      <c r="E52" s="261" t="s">
        <v>185</v>
      </c>
      <c r="F52" s="261" t="s">
        <v>72</v>
      </c>
      <c r="G52" s="261" t="s">
        <v>186</v>
      </c>
      <c r="H52" s="261" t="s">
        <v>187</v>
      </c>
      <c r="I52" s="261" t="s">
        <v>188</v>
      </c>
      <c r="J52" s="7"/>
      <c r="K52" s="7"/>
      <c r="L52" s="7"/>
      <c r="M52" s="7"/>
    </row>
    <row r="53" spans="2:15" ht="17.25">
      <c r="B53" s="17" t="s">
        <v>189</v>
      </c>
      <c r="C53" s="70">
        <v>15.811999999999999</v>
      </c>
      <c r="D53" s="70"/>
      <c r="E53" s="70"/>
      <c r="F53" s="70"/>
      <c r="G53" s="71"/>
      <c r="H53" s="71"/>
      <c r="I53" s="71"/>
      <c r="J53" s="15"/>
      <c r="K53" s="15"/>
      <c r="L53" s="7"/>
      <c r="M53" s="7"/>
      <c r="N53" s="1"/>
      <c r="O53" s="1"/>
    </row>
    <row r="54" spans="2:15" ht="17.25">
      <c r="B54" s="17" t="s">
        <v>190</v>
      </c>
      <c r="C54" s="70">
        <v>55</v>
      </c>
      <c r="D54" s="70"/>
      <c r="E54" s="70"/>
      <c r="F54" s="70"/>
      <c r="G54" s="71"/>
      <c r="H54" s="71"/>
      <c r="I54" s="71"/>
      <c r="J54" s="15"/>
      <c r="K54" s="15"/>
      <c r="L54" s="7"/>
      <c r="M54" s="7"/>
      <c r="N54" s="1"/>
      <c r="O54" s="1"/>
    </row>
    <row r="55" spans="2:15" ht="17.25">
      <c r="B55" s="17" t="s">
        <v>191</v>
      </c>
      <c r="C55" s="70">
        <v>4.4329999999999998</v>
      </c>
      <c r="D55" s="70"/>
      <c r="E55" s="70"/>
      <c r="F55" s="70"/>
      <c r="G55" s="71"/>
      <c r="H55" s="71"/>
      <c r="I55" s="71"/>
      <c r="J55" s="15"/>
      <c r="K55" s="15"/>
      <c r="L55" s="7"/>
      <c r="M55" s="7"/>
      <c r="N55" s="1"/>
      <c r="O55" s="1"/>
    </row>
    <row r="56" spans="2:15" ht="28.5">
      <c r="B56" s="17" t="s">
        <v>192</v>
      </c>
      <c r="C56" s="70">
        <v>7695</v>
      </c>
      <c r="D56" s="70"/>
      <c r="E56" s="70"/>
      <c r="F56" s="70"/>
      <c r="G56" s="71"/>
      <c r="H56" s="71"/>
      <c r="I56" s="71"/>
      <c r="J56" s="15"/>
      <c r="K56" s="15"/>
      <c r="L56" s="7"/>
      <c r="M56" s="7"/>
      <c r="N56" s="1"/>
      <c r="O56" s="1"/>
    </row>
    <row r="57" spans="2:15" ht="17.25">
      <c r="B57" s="17" t="s">
        <v>193</v>
      </c>
      <c r="C57" s="70">
        <v>2185</v>
      </c>
      <c r="D57" s="70"/>
      <c r="E57" s="70"/>
      <c r="F57" s="70"/>
      <c r="G57" s="71"/>
      <c r="H57" s="71"/>
      <c r="I57" s="71"/>
      <c r="J57" s="15"/>
      <c r="K57" s="15"/>
      <c r="L57" s="7"/>
      <c r="M57" s="7"/>
      <c r="N57" s="1"/>
      <c r="O57" s="1"/>
    </row>
    <row r="58" spans="2:15" ht="17.25">
      <c r="B58" s="17" t="s">
        <v>194</v>
      </c>
      <c r="C58" s="70">
        <v>9015</v>
      </c>
      <c r="D58" s="70"/>
      <c r="E58" s="70"/>
      <c r="F58" s="70"/>
      <c r="G58" s="71"/>
      <c r="H58" s="71"/>
      <c r="I58" s="71"/>
      <c r="J58" s="15"/>
      <c r="K58" s="15"/>
      <c r="L58" s="7"/>
      <c r="M58" s="7"/>
      <c r="N58" s="1"/>
      <c r="O58" s="1"/>
    </row>
    <row r="59" spans="2:15" ht="17.25">
      <c r="B59" s="18"/>
      <c r="C59" s="55"/>
      <c r="D59" s="55"/>
      <c r="E59" s="55"/>
      <c r="F59" s="55"/>
      <c r="G59" s="55"/>
      <c r="H59" s="55"/>
      <c r="I59" s="55"/>
      <c r="J59" s="15"/>
      <c r="K59" s="15"/>
      <c r="L59" s="7"/>
      <c r="M59" s="7"/>
      <c r="N59" s="1"/>
      <c r="O59" s="1"/>
    </row>
    <row r="60" spans="2:15" ht="17.25">
      <c r="B60" s="51"/>
      <c r="J60" s="7"/>
      <c r="K60" s="7"/>
      <c r="L60" s="7"/>
    </row>
    <row r="61" spans="2:15" s="10" customFormat="1" ht="17.25">
      <c r="B61" s="16" t="s">
        <v>195</v>
      </c>
      <c r="C61" s="16"/>
      <c r="D61" s="12"/>
      <c r="E61" s="12"/>
      <c r="F61" s="12"/>
      <c r="G61" s="12"/>
      <c r="H61" s="12"/>
      <c r="I61" s="12"/>
      <c r="J61" s="12"/>
      <c r="K61" s="12"/>
      <c r="L61" s="19"/>
    </row>
    <row r="62" spans="2:15" ht="6" customHeight="1" thickBot="1">
      <c r="B62" s="14"/>
      <c r="C62" s="14"/>
      <c r="D62" s="15"/>
      <c r="E62" s="7"/>
      <c r="F62" s="15"/>
      <c r="G62" s="15"/>
      <c r="H62" s="15"/>
      <c r="I62" s="15"/>
      <c r="J62" s="15"/>
      <c r="K62" s="15"/>
      <c r="L62" s="7"/>
    </row>
    <row r="63" spans="2:15" ht="28.5">
      <c r="B63" s="261" t="s">
        <v>110</v>
      </c>
      <c r="C63" s="261" t="s">
        <v>44</v>
      </c>
      <c r="D63" s="261" t="s">
        <v>45</v>
      </c>
      <c r="E63" s="261" t="s">
        <v>185</v>
      </c>
      <c r="F63" s="261" t="s">
        <v>72</v>
      </c>
      <c r="G63" s="261" t="s">
        <v>186</v>
      </c>
      <c r="H63" s="261" t="s">
        <v>187</v>
      </c>
      <c r="I63" s="261" t="s">
        <v>188</v>
      </c>
      <c r="J63" s="7"/>
      <c r="K63" s="7"/>
      <c r="L63" s="7"/>
      <c r="M63" s="7"/>
    </row>
    <row r="64" spans="2:15" ht="17.25">
      <c r="B64" s="17" t="s">
        <v>189</v>
      </c>
      <c r="C64" s="166">
        <v>0.29499999999999998</v>
      </c>
      <c r="D64" s="163"/>
      <c r="E64" s="163"/>
      <c r="F64" s="166">
        <v>0.313</v>
      </c>
      <c r="G64" s="167">
        <v>0.311</v>
      </c>
      <c r="H64" s="167">
        <v>0.31900000000000001</v>
      </c>
      <c r="I64" s="167">
        <v>0.32200000000000001</v>
      </c>
      <c r="J64" s="15"/>
      <c r="K64" s="165" t="s">
        <v>196</v>
      </c>
      <c r="L64" s="7"/>
      <c r="M64" s="7"/>
      <c r="N64" s="1"/>
      <c r="O64" s="1"/>
    </row>
    <row r="65" spans="2:15" ht="17.25">
      <c r="B65" s="17" t="s">
        <v>190</v>
      </c>
      <c r="C65" s="166"/>
      <c r="D65" s="163"/>
      <c r="E65" s="163"/>
      <c r="F65" s="166"/>
      <c r="G65" s="167"/>
      <c r="H65" s="167"/>
      <c r="I65" s="167"/>
      <c r="J65" s="15"/>
      <c r="K65" s="161"/>
      <c r="L65" s="7"/>
      <c r="M65" s="7"/>
      <c r="N65" s="1"/>
      <c r="O65" s="1"/>
    </row>
    <row r="66" spans="2:15" ht="17.25">
      <c r="B66" s="17" t="s">
        <v>191</v>
      </c>
      <c r="C66" s="166">
        <v>0.157</v>
      </c>
      <c r="D66" s="163"/>
      <c r="E66" s="163"/>
      <c r="F66" s="166">
        <v>0.17899999999999999</v>
      </c>
      <c r="G66" s="167">
        <v>0.14499999999999999</v>
      </c>
      <c r="H66" s="167">
        <v>0.182</v>
      </c>
      <c r="I66" s="167">
        <v>0.16500000000000001</v>
      </c>
      <c r="J66" s="15"/>
      <c r="K66" s="15"/>
      <c r="L66" s="7"/>
      <c r="M66" s="7"/>
      <c r="N66" s="1"/>
      <c r="O66" s="1"/>
    </row>
    <row r="67" spans="2:15" ht="28.5">
      <c r="B67" s="17" t="s">
        <v>192</v>
      </c>
      <c r="C67" s="166">
        <v>0.13200000000000001</v>
      </c>
      <c r="D67" s="163"/>
      <c r="E67" s="163"/>
      <c r="F67" s="166">
        <v>0.13500000000000001</v>
      </c>
      <c r="G67" s="167">
        <v>0.124</v>
      </c>
      <c r="H67" s="167">
        <v>0.13400000000000001</v>
      </c>
      <c r="I67" s="167">
        <v>0.13900000000000001</v>
      </c>
      <c r="J67" s="15"/>
      <c r="K67" s="15"/>
      <c r="L67" s="7"/>
      <c r="M67" s="7"/>
      <c r="N67" s="1"/>
      <c r="O67" s="1"/>
    </row>
    <row r="68" spans="2:15" ht="17.25">
      <c r="B68" s="17" t="s">
        <v>193</v>
      </c>
      <c r="C68" s="166">
        <v>6.9000000000000006E-2</v>
      </c>
      <c r="D68" s="163"/>
      <c r="E68" s="163"/>
      <c r="F68" s="166">
        <v>0.28399999999999997</v>
      </c>
      <c r="G68" s="167">
        <v>0.48</v>
      </c>
      <c r="H68" s="167">
        <v>0.498</v>
      </c>
      <c r="I68" s="167">
        <v>0.51900000000000002</v>
      </c>
      <c r="J68" s="15"/>
      <c r="K68" s="15"/>
      <c r="L68" s="7"/>
      <c r="M68" s="7"/>
      <c r="N68" s="1"/>
      <c r="O68" s="1"/>
    </row>
    <row r="69" spans="2:15" ht="17.25">
      <c r="B69" s="17" t="s">
        <v>194</v>
      </c>
      <c r="C69" s="166">
        <v>0.28999999999999998</v>
      </c>
      <c r="D69" s="163"/>
      <c r="E69" s="163"/>
      <c r="F69" s="166">
        <v>0.30299999999999999</v>
      </c>
      <c r="G69" s="167">
        <v>0.308</v>
      </c>
      <c r="H69" s="167">
        <v>0.29599999999999999</v>
      </c>
      <c r="I69" s="167">
        <v>0.29499999999999998</v>
      </c>
      <c r="J69" s="15"/>
      <c r="K69" s="15"/>
      <c r="L69" s="7"/>
      <c r="M69" s="7"/>
      <c r="N69" s="1"/>
      <c r="O69" s="1"/>
    </row>
    <row r="70" spans="2:15" ht="17.25">
      <c r="B70" s="18"/>
      <c r="C70" s="162"/>
      <c r="D70" s="162"/>
      <c r="E70" s="162"/>
      <c r="F70" s="162"/>
      <c r="G70" s="162"/>
      <c r="H70" s="162"/>
      <c r="I70" s="162"/>
      <c r="J70" s="15"/>
      <c r="K70" s="15"/>
      <c r="L70" s="7"/>
      <c r="M70" s="7"/>
      <c r="N70" s="1"/>
      <c r="O70" s="1"/>
    </row>
    <row r="71" spans="2:15" ht="17.25">
      <c r="B71" s="50"/>
      <c r="C71" s="14"/>
      <c r="D71" s="15"/>
      <c r="E71" s="15"/>
      <c r="F71" s="15"/>
      <c r="G71" s="15"/>
      <c r="H71" s="15"/>
      <c r="I71" s="15"/>
      <c r="J71" s="15"/>
    </row>
    <row r="72" spans="2:15" s="10" customFormat="1" ht="17.25">
      <c r="B72" s="16" t="s">
        <v>184</v>
      </c>
      <c r="C72" s="16"/>
      <c r="D72" s="12"/>
      <c r="E72" s="12"/>
      <c r="F72" s="12"/>
      <c r="G72" s="12"/>
      <c r="H72" s="12"/>
      <c r="I72" s="12"/>
      <c r="J72" s="12"/>
      <c r="K72" s="12"/>
      <c r="L72" s="19"/>
    </row>
    <row r="73" spans="2:15" ht="6" customHeight="1" thickBot="1">
      <c r="B73" s="14"/>
      <c r="C73" s="14"/>
      <c r="D73" s="15"/>
      <c r="E73" s="7"/>
      <c r="F73" s="15"/>
      <c r="G73" s="15"/>
      <c r="H73" s="15"/>
      <c r="I73" s="15"/>
      <c r="J73" s="15"/>
      <c r="K73" s="15"/>
      <c r="L73" s="7"/>
    </row>
    <row r="74" spans="2:15" ht="18" thickBot="1">
      <c r="B74" s="669" t="s">
        <v>91</v>
      </c>
      <c r="C74" s="669" t="s">
        <v>50</v>
      </c>
      <c r="D74" s="672" t="s">
        <v>49</v>
      </c>
      <c r="E74" s="672"/>
      <c r="F74" s="672" t="s">
        <v>93</v>
      </c>
      <c r="G74" s="672"/>
      <c r="H74" s="673" t="s">
        <v>197</v>
      </c>
      <c r="I74" s="674"/>
      <c r="J74" s="15"/>
      <c r="K74" s="15"/>
      <c r="L74" s="7"/>
    </row>
    <row r="75" spans="2:15" ht="18" thickBot="1">
      <c r="B75" s="670"/>
      <c r="C75" s="671"/>
      <c r="D75" s="387" t="s">
        <v>94</v>
      </c>
      <c r="E75" s="387" t="s">
        <v>95</v>
      </c>
      <c r="F75" s="387" t="s">
        <v>94</v>
      </c>
      <c r="G75" s="387" t="s">
        <v>95</v>
      </c>
      <c r="H75" s="387" t="s">
        <v>94</v>
      </c>
      <c r="I75" s="387" t="s">
        <v>95</v>
      </c>
      <c r="J75" s="25"/>
      <c r="K75" s="15"/>
      <c r="L75" s="7"/>
    </row>
    <row r="76" spans="2:15" ht="17.25">
      <c r="B76" s="113" t="s">
        <v>103</v>
      </c>
      <c r="C76" s="115" t="s">
        <v>189</v>
      </c>
      <c r="D76" s="195">
        <v>15.811999999999999</v>
      </c>
      <c r="E76" s="195">
        <v>59.22</v>
      </c>
      <c r="F76" s="195">
        <v>3.3879999999999999</v>
      </c>
      <c r="G76" s="195">
        <v>7.3</v>
      </c>
      <c r="H76" s="195">
        <v>12.425000000000001</v>
      </c>
      <c r="I76" s="196">
        <v>51.86</v>
      </c>
      <c r="J76" s="7"/>
      <c r="K76" s="7"/>
      <c r="L76" s="7"/>
    </row>
    <row r="77" spans="2:15" ht="17.25">
      <c r="B77" s="114" t="s">
        <v>104</v>
      </c>
      <c r="C77" s="80" t="s">
        <v>190</v>
      </c>
      <c r="D77" s="182">
        <v>0.55000000000000004</v>
      </c>
      <c r="E77" s="182">
        <v>0.09</v>
      </c>
      <c r="F77" s="182">
        <v>5.5E-2</v>
      </c>
      <c r="G77" s="182">
        <v>0.09</v>
      </c>
      <c r="H77" s="182">
        <v>0</v>
      </c>
      <c r="I77" s="197">
        <v>0</v>
      </c>
      <c r="J77" s="15"/>
      <c r="K77" s="164" t="s">
        <v>198</v>
      </c>
      <c r="L77" s="7"/>
    </row>
    <row r="78" spans="2:15" ht="17.25">
      <c r="B78" s="114"/>
      <c r="C78" s="80" t="s">
        <v>191</v>
      </c>
      <c r="D78" s="182">
        <v>4.4139999999999997</v>
      </c>
      <c r="E78" s="182">
        <v>103.75</v>
      </c>
      <c r="F78" s="182">
        <v>4.4139999999999997</v>
      </c>
      <c r="G78" s="182">
        <v>72.95</v>
      </c>
      <c r="H78" s="182">
        <v>19</v>
      </c>
      <c r="I78" s="197">
        <v>30.8</v>
      </c>
      <c r="J78" s="15"/>
      <c r="K78" s="7"/>
      <c r="L78" s="7"/>
    </row>
    <row r="79" spans="2:15" ht="28.5">
      <c r="B79" s="114"/>
      <c r="C79" s="80" t="s">
        <v>192</v>
      </c>
      <c r="D79" s="182">
        <v>7.9889999999999999</v>
      </c>
      <c r="E79" s="182">
        <v>85.67</v>
      </c>
      <c r="F79" s="182">
        <v>7.3929999999999998</v>
      </c>
      <c r="G79" s="182">
        <v>34.020000000000003</v>
      </c>
      <c r="H79" s="182">
        <v>0.59499999999999997</v>
      </c>
      <c r="I79" s="197">
        <v>51.65</v>
      </c>
      <c r="J79" s="15"/>
      <c r="K79" s="7"/>
      <c r="L79" s="7"/>
    </row>
    <row r="80" spans="2:15" ht="17.25">
      <c r="B80" s="114"/>
      <c r="C80" s="80" t="s">
        <v>193</v>
      </c>
      <c r="D80" s="182">
        <v>2.1850000000000001</v>
      </c>
      <c r="E80" s="182">
        <v>77.069999999999993</v>
      </c>
      <c r="F80" s="182">
        <v>3.762</v>
      </c>
      <c r="G80" s="182">
        <v>18.47</v>
      </c>
      <c r="H80" s="182">
        <v>-1.577</v>
      </c>
      <c r="I80" s="197">
        <v>58.59</v>
      </c>
      <c r="J80" s="15"/>
      <c r="K80" s="7"/>
      <c r="L80" s="7"/>
    </row>
    <row r="81" spans="2:12" ht="17.25">
      <c r="B81" s="114"/>
      <c r="C81" s="69" t="s">
        <v>194</v>
      </c>
      <c r="D81" s="198">
        <v>9.0150000000000006</v>
      </c>
      <c r="E81" s="198">
        <v>25.42</v>
      </c>
      <c r="F81" s="198">
        <v>2.9929999999999999</v>
      </c>
      <c r="G81" s="198">
        <v>4.42</v>
      </c>
      <c r="H81" s="198">
        <v>6.0220000000000002</v>
      </c>
      <c r="I81" s="199">
        <v>21.01</v>
      </c>
      <c r="J81" s="15"/>
      <c r="K81" s="7"/>
      <c r="L81" s="7"/>
    </row>
    <row r="82" spans="2:12" ht="17.25">
      <c r="B82" s="113" t="s">
        <v>103</v>
      </c>
      <c r="C82" s="115" t="s">
        <v>189</v>
      </c>
      <c r="D82" s="195">
        <v>15.811999999999999</v>
      </c>
      <c r="E82" s="195">
        <v>59.22</v>
      </c>
      <c r="F82" s="195">
        <v>3.3879999999999999</v>
      </c>
      <c r="G82" s="195">
        <v>7.3</v>
      </c>
      <c r="H82" s="195">
        <v>12.425000000000001</v>
      </c>
      <c r="I82" s="196">
        <v>51.86</v>
      </c>
      <c r="J82" s="7"/>
      <c r="K82" s="7"/>
      <c r="L82" s="7"/>
    </row>
    <row r="83" spans="2:12" ht="17.25">
      <c r="B83" s="114" t="s">
        <v>199</v>
      </c>
      <c r="C83" s="80" t="s">
        <v>190</v>
      </c>
      <c r="D83" s="182">
        <v>0.55000000000000004</v>
      </c>
      <c r="E83" s="182">
        <v>0.09</v>
      </c>
      <c r="F83" s="182">
        <v>5.5E-2</v>
      </c>
      <c r="G83" s="182">
        <v>0.09</v>
      </c>
      <c r="H83" s="182">
        <v>0</v>
      </c>
      <c r="I83" s="197">
        <v>0</v>
      </c>
      <c r="J83" s="15"/>
      <c r="K83" s="7"/>
      <c r="L83" s="7"/>
    </row>
    <row r="84" spans="2:12" ht="17.25">
      <c r="B84" s="114"/>
      <c r="C84" s="80" t="s">
        <v>191</v>
      </c>
      <c r="D84" s="182">
        <v>4.4139999999999997</v>
      </c>
      <c r="E84" s="182">
        <v>103.75</v>
      </c>
      <c r="F84" s="182">
        <v>4.4139999999999997</v>
      </c>
      <c r="G84" s="182">
        <v>72.95</v>
      </c>
      <c r="H84" s="182">
        <v>19</v>
      </c>
      <c r="I84" s="197">
        <v>30.8</v>
      </c>
      <c r="J84" s="15"/>
      <c r="K84" s="7"/>
      <c r="L84" s="7"/>
    </row>
    <row r="85" spans="2:12" ht="28.5">
      <c r="B85" s="114"/>
      <c r="C85" s="80" t="s">
        <v>192</v>
      </c>
      <c r="D85" s="182">
        <v>7.9889999999999999</v>
      </c>
      <c r="E85" s="182">
        <v>85.67</v>
      </c>
      <c r="F85" s="182">
        <v>7.3929999999999998</v>
      </c>
      <c r="G85" s="182">
        <v>34.020000000000003</v>
      </c>
      <c r="H85" s="182">
        <v>0.59499999999999997</v>
      </c>
      <c r="I85" s="197">
        <v>51.65</v>
      </c>
      <c r="J85" s="15"/>
      <c r="K85" s="7"/>
      <c r="L85" s="7"/>
    </row>
    <row r="86" spans="2:12" ht="17.25">
      <c r="B86" s="114"/>
      <c r="C86" s="80" t="s">
        <v>193</v>
      </c>
      <c r="D86" s="182">
        <v>2.1850000000000001</v>
      </c>
      <c r="E86" s="182">
        <v>77.069999999999993</v>
      </c>
      <c r="F86" s="182">
        <v>3.762</v>
      </c>
      <c r="G86" s="182">
        <v>18.47</v>
      </c>
      <c r="H86" s="182">
        <v>-1.577</v>
      </c>
      <c r="I86" s="197">
        <v>58.59</v>
      </c>
      <c r="J86" s="15"/>
      <c r="K86" s="7"/>
      <c r="L86" s="7"/>
    </row>
    <row r="87" spans="2:12" ht="18" thickBot="1">
      <c r="B87" s="114"/>
      <c r="C87" s="69" t="s">
        <v>194</v>
      </c>
      <c r="D87" s="198">
        <v>9.0150000000000006</v>
      </c>
      <c r="E87" s="198">
        <v>25.42</v>
      </c>
      <c r="F87" s="198">
        <v>2.9929999999999999</v>
      </c>
      <c r="G87" s="198">
        <v>4.42</v>
      </c>
      <c r="H87" s="198">
        <v>6.0220000000000002</v>
      </c>
      <c r="I87" s="199">
        <v>21.01</v>
      </c>
      <c r="J87" s="15"/>
      <c r="K87" s="7"/>
      <c r="L87" s="7"/>
    </row>
    <row r="88" spans="2:12" ht="17.25">
      <c r="B88" s="113" t="s">
        <v>185</v>
      </c>
      <c r="C88" s="115" t="s">
        <v>189</v>
      </c>
      <c r="D88" s="182">
        <v>17.396999999999998</v>
      </c>
      <c r="E88" s="182">
        <v>71.819999999999993</v>
      </c>
      <c r="F88" s="182">
        <v>4.2590000000000003</v>
      </c>
      <c r="G88" s="182">
        <v>17.32</v>
      </c>
      <c r="H88" s="182">
        <v>13.138</v>
      </c>
      <c r="I88" s="197">
        <v>54.5</v>
      </c>
      <c r="J88" s="15"/>
      <c r="K88" s="7"/>
      <c r="L88" s="7"/>
    </row>
    <row r="89" spans="2:12" ht="17.25">
      <c r="B89" s="114"/>
      <c r="C89" s="80" t="s">
        <v>190</v>
      </c>
      <c r="D89" s="182">
        <v>5.2999999999999999E-2</v>
      </c>
      <c r="E89" s="182">
        <v>0.08</v>
      </c>
      <c r="F89" s="182">
        <v>5.2999999999999999E-2</v>
      </c>
      <c r="G89" s="182">
        <v>0.08</v>
      </c>
      <c r="H89" s="182">
        <v>0</v>
      </c>
      <c r="I89" s="197">
        <v>0</v>
      </c>
      <c r="J89" s="15"/>
      <c r="K89" s="164" t="s">
        <v>198</v>
      </c>
      <c r="L89" s="7"/>
    </row>
    <row r="90" spans="2:12" ht="17.25">
      <c r="B90" s="114"/>
      <c r="C90" s="80" t="s">
        <v>191</v>
      </c>
      <c r="D90" s="182">
        <v>5.266</v>
      </c>
      <c r="E90" s="182">
        <v>102.81</v>
      </c>
      <c r="F90" s="182">
        <v>4.1369999999999996</v>
      </c>
      <c r="G90" s="182">
        <v>70.78</v>
      </c>
      <c r="H90" s="182">
        <v>1.129</v>
      </c>
      <c r="I90" s="197">
        <v>32.020000000000003</v>
      </c>
      <c r="J90" s="15"/>
      <c r="K90" s="7"/>
      <c r="L90" s="7"/>
    </row>
    <row r="91" spans="2:12" ht="28.5">
      <c r="B91" s="114"/>
      <c r="C91" s="80" t="s">
        <v>192</v>
      </c>
      <c r="D91" s="182">
        <v>10.25</v>
      </c>
      <c r="E91" s="182">
        <v>123.73</v>
      </c>
      <c r="F91" s="182">
        <v>9.3339999999999996</v>
      </c>
      <c r="G91" s="182">
        <v>59.94</v>
      </c>
      <c r="H91" s="182">
        <v>0.91600000000000004</v>
      </c>
      <c r="I91" s="197">
        <v>63.79</v>
      </c>
      <c r="J91" s="15"/>
      <c r="K91" s="7"/>
      <c r="L91" s="7"/>
    </row>
    <row r="92" spans="2:12" ht="17.25">
      <c r="B92" s="114"/>
      <c r="C92" s="80" t="s">
        <v>193</v>
      </c>
      <c r="D92" s="182">
        <v>32.643999999999998</v>
      </c>
      <c r="E92" s="182">
        <v>137.21</v>
      </c>
      <c r="F92" s="182">
        <v>21.635000000000002</v>
      </c>
      <c r="G92" s="182">
        <v>50.5</v>
      </c>
      <c r="H92" s="182">
        <v>11.009</v>
      </c>
      <c r="I92" s="197">
        <v>86.71</v>
      </c>
      <c r="J92" s="15"/>
      <c r="K92" s="7"/>
      <c r="L92" s="7"/>
    </row>
    <row r="93" spans="2:12" ht="18" thickBot="1">
      <c r="B93" s="114"/>
      <c r="C93" s="69" t="s">
        <v>194</v>
      </c>
      <c r="D93" s="198">
        <v>8.7989999999999995</v>
      </c>
      <c r="E93" s="198">
        <v>25.95</v>
      </c>
      <c r="F93" s="198">
        <v>2.488</v>
      </c>
      <c r="G93" s="198">
        <v>3.44</v>
      </c>
      <c r="H93" s="198">
        <v>6.3109999999999999</v>
      </c>
      <c r="I93" s="199">
        <v>22.51</v>
      </c>
      <c r="J93" s="15"/>
      <c r="K93" s="7"/>
      <c r="L93" s="7"/>
    </row>
    <row r="94" spans="2:12" ht="17.25">
      <c r="B94" s="113" t="s">
        <v>72</v>
      </c>
      <c r="C94" s="115" t="s">
        <v>189</v>
      </c>
      <c r="D94" s="182">
        <v>17.396999999999998</v>
      </c>
      <c r="E94" s="182">
        <v>71.819999999999993</v>
      </c>
      <c r="F94" s="182">
        <v>4.2590000000000003</v>
      </c>
      <c r="G94" s="182">
        <v>17.32</v>
      </c>
      <c r="H94" s="182">
        <v>13.138</v>
      </c>
      <c r="I94" s="197">
        <v>54.5</v>
      </c>
      <c r="J94" s="7"/>
      <c r="K94" s="7"/>
      <c r="L94" s="7"/>
    </row>
    <row r="95" spans="2:12" ht="17.25">
      <c r="B95" s="114"/>
      <c r="C95" s="80" t="s">
        <v>190</v>
      </c>
      <c r="D95" s="182">
        <v>5.2999999999999999E-2</v>
      </c>
      <c r="E95" s="182">
        <v>0.08</v>
      </c>
      <c r="F95" s="182">
        <v>5.2999999999999999E-2</v>
      </c>
      <c r="G95" s="182">
        <v>0.08</v>
      </c>
      <c r="H95" s="182">
        <v>0</v>
      </c>
      <c r="I95" s="197">
        <v>0</v>
      </c>
      <c r="J95" s="15"/>
      <c r="K95" s="7"/>
      <c r="L95" s="7"/>
    </row>
    <row r="96" spans="2:12" ht="17.25">
      <c r="B96" s="114"/>
      <c r="C96" s="80" t="s">
        <v>191</v>
      </c>
      <c r="D96" s="182">
        <v>5.266</v>
      </c>
      <c r="E96" s="182">
        <v>102.81</v>
      </c>
      <c r="F96" s="182">
        <v>4.1369999999999996</v>
      </c>
      <c r="G96" s="182">
        <v>70.78</v>
      </c>
      <c r="H96" s="182">
        <v>1.129</v>
      </c>
      <c r="I96" s="197">
        <v>32.020000000000003</v>
      </c>
      <c r="J96" s="15"/>
      <c r="K96" s="7"/>
      <c r="L96" s="7"/>
    </row>
    <row r="97" spans="2:12" ht="28.5">
      <c r="B97" s="114"/>
      <c r="C97" s="80" t="s">
        <v>192</v>
      </c>
      <c r="D97" s="182">
        <v>10.25</v>
      </c>
      <c r="E97" s="182">
        <v>123.73</v>
      </c>
      <c r="F97" s="182">
        <v>9.3339999999999996</v>
      </c>
      <c r="G97" s="182">
        <v>59.94</v>
      </c>
      <c r="H97" s="182">
        <v>0.91600000000000004</v>
      </c>
      <c r="I97" s="197">
        <v>63.79</v>
      </c>
      <c r="J97" s="15"/>
      <c r="K97" s="7"/>
      <c r="L97" s="7"/>
    </row>
    <row r="98" spans="2:12" ht="17.25">
      <c r="B98" s="114"/>
      <c r="C98" s="80" t="s">
        <v>193</v>
      </c>
      <c r="D98" s="182">
        <v>32.643999999999998</v>
      </c>
      <c r="E98" s="182">
        <v>137.21</v>
      </c>
      <c r="F98" s="182">
        <v>21.635000000000002</v>
      </c>
      <c r="G98" s="182">
        <v>50.5</v>
      </c>
      <c r="H98" s="182">
        <v>11.009</v>
      </c>
      <c r="I98" s="197">
        <v>86.71</v>
      </c>
      <c r="J98" s="15"/>
      <c r="K98" s="7"/>
      <c r="L98" s="7"/>
    </row>
    <row r="99" spans="2:12" ht="18" thickBot="1">
      <c r="B99" s="114"/>
      <c r="C99" s="69" t="s">
        <v>194</v>
      </c>
      <c r="D99" s="182">
        <v>8.7989999999999995</v>
      </c>
      <c r="E99" s="182">
        <v>25.95</v>
      </c>
      <c r="F99" s="182">
        <v>2.488</v>
      </c>
      <c r="G99" s="182">
        <v>3.44</v>
      </c>
      <c r="H99" s="182">
        <v>6.3109999999999999</v>
      </c>
      <c r="I99" s="197">
        <v>22.51</v>
      </c>
      <c r="J99" s="15"/>
      <c r="K99" s="7"/>
      <c r="L99" s="7"/>
    </row>
    <row r="100" spans="2:12" ht="17.25">
      <c r="B100" s="113" t="s">
        <v>186</v>
      </c>
      <c r="C100" s="115" t="s">
        <v>189</v>
      </c>
      <c r="D100" s="116"/>
      <c r="E100" s="116"/>
      <c r="F100" s="116"/>
      <c r="G100" s="116"/>
      <c r="H100" s="116"/>
      <c r="I100" s="117"/>
      <c r="J100" s="7"/>
      <c r="K100" s="7"/>
      <c r="L100" s="7"/>
    </row>
    <row r="101" spans="2:12" ht="17.25">
      <c r="B101" s="114"/>
      <c r="C101" s="80" t="s">
        <v>190</v>
      </c>
      <c r="D101" s="75"/>
      <c r="E101" s="75"/>
      <c r="F101" s="75"/>
      <c r="G101" s="75"/>
      <c r="H101" s="75"/>
      <c r="I101" s="118"/>
      <c r="J101" s="15"/>
      <c r="K101" s="7"/>
      <c r="L101" s="7"/>
    </row>
    <row r="102" spans="2:12" ht="17.25">
      <c r="B102" s="114"/>
      <c r="C102" s="80" t="s">
        <v>191</v>
      </c>
      <c r="D102" s="75"/>
      <c r="E102" s="75"/>
      <c r="F102" s="75"/>
      <c r="G102" s="75"/>
      <c r="H102" s="75"/>
      <c r="I102" s="118"/>
      <c r="J102" s="15"/>
      <c r="K102" s="7"/>
      <c r="L102" s="7"/>
    </row>
    <row r="103" spans="2:12" ht="28.5">
      <c r="B103" s="114"/>
      <c r="C103" s="80" t="s">
        <v>192</v>
      </c>
      <c r="D103" s="75"/>
      <c r="E103" s="75"/>
      <c r="F103" s="75"/>
      <c r="G103" s="75"/>
      <c r="H103" s="75"/>
      <c r="I103" s="118"/>
      <c r="J103" s="15"/>
      <c r="K103" s="7"/>
      <c r="L103" s="7"/>
    </row>
    <row r="104" spans="2:12" ht="17.25">
      <c r="B104" s="114"/>
      <c r="C104" s="80" t="s">
        <v>193</v>
      </c>
      <c r="D104" s="75"/>
      <c r="E104" s="75"/>
      <c r="F104" s="75"/>
      <c r="G104" s="75"/>
      <c r="H104" s="75"/>
      <c r="I104" s="118"/>
      <c r="J104" s="15"/>
      <c r="K104" s="7"/>
      <c r="L104" s="7"/>
    </row>
    <row r="105" spans="2:12" ht="18" thickBot="1">
      <c r="B105" s="114"/>
      <c r="C105" s="69" t="s">
        <v>194</v>
      </c>
      <c r="D105" s="119"/>
      <c r="E105" s="119"/>
      <c r="F105" s="119"/>
      <c r="G105" s="119"/>
      <c r="H105" s="119"/>
      <c r="I105" s="120"/>
      <c r="J105" s="15"/>
      <c r="K105" s="7"/>
      <c r="L105" s="7"/>
    </row>
    <row r="106" spans="2:12" ht="17.25">
      <c r="B106" s="21" t="s">
        <v>187</v>
      </c>
      <c r="C106" s="115" t="s">
        <v>189</v>
      </c>
      <c r="D106" s="116"/>
      <c r="E106" s="116"/>
      <c r="F106" s="116"/>
      <c r="G106" s="116"/>
      <c r="H106" s="116"/>
      <c r="I106" s="117"/>
      <c r="J106" s="26"/>
      <c r="K106" s="7"/>
      <c r="L106" s="7"/>
    </row>
    <row r="107" spans="2:12" ht="17.25">
      <c r="B107" s="20"/>
      <c r="C107" s="80" t="s">
        <v>190</v>
      </c>
      <c r="D107" s="75"/>
      <c r="E107" s="75"/>
      <c r="F107" s="75"/>
      <c r="G107" s="75"/>
      <c r="H107" s="75"/>
      <c r="I107" s="118"/>
      <c r="J107" s="15"/>
      <c r="K107" s="7"/>
      <c r="L107" s="7"/>
    </row>
    <row r="108" spans="2:12" ht="17.25">
      <c r="B108" s="20"/>
      <c r="C108" s="80" t="s">
        <v>191</v>
      </c>
      <c r="D108" s="75"/>
      <c r="E108" s="75"/>
      <c r="F108" s="75"/>
      <c r="G108" s="75"/>
      <c r="H108" s="75"/>
      <c r="I108" s="118"/>
      <c r="J108" s="15"/>
      <c r="K108" s="7"/>
      <c r="L108" s="7"/>
    </row>
    <row r="109" spans="2:12" ht="28.5">
      <c r="B109" s="20"/>
      <c r="C109" s="80" t="s">
        <v>192</v>
      </c>
      <c r="D109" s="75"/>
      <c r="E109" s="75"/>
      <c r="F109" s="75"/>
      <c r="G109" s="75"/>
      <c r="H109" s="75"/>
      <c r="I109" s="118"/>
      <c r="J109" s="15"/>
      <c r="K109" s="7"/>
      <c r="L109" s="7"/>
    </row>
    <row r="110" spans="2:12" ht="17.25">
      <c r="B110" s="20"/>
      <c r="C110" s="80" t="s">
        <v>193</v>
      </c>
      <c r="D110" s="75"/>
      <c r="E110" s="75"/>
      <c r="F110" s="75"/>
      <c r="G110" s="75"/>
      <c r="H110" s="75"/>
      <c r="I110" s="118"/>
      <c r="J110" s="15"/>
      <c r="K110" s="7"/>
      <c r="L110" s="7"/>
    </row>
    <row r="111" spans="2:12" ht="18" thickBot="1">
      <c r="B111" s="20"/>
      <c r="C111" s="69" t="s">
        <v>194</v>
      </c>
      <c r="D111" s="119"/>
      <c r="E111" s="119"/>
      <c r="F111" s="119"/>
      <c r="G111" s="119"/>
      <c r="H111" s="119"/>
      <c r="I111" s="120"/>
      <c r="J111" s="15"/>
      <c r="K111" s="15"/>
      <c r="L111" s="7"/>
    </row>
    <row r="112" spans="2:12" ht="17.25">
      <c r="B112" s="121" t="s">
        <v>188</v>
      </c>
      <c r="C112" s="115" t="s">
        <v>189</v>
      </c>
      <c r="D112" s="116"/>
      <c r="E112" s="116"/>
      <c r="F112" s="116"/>
      <c r="G112" s="116"/>
      <c r="H112" s="116"/>
      <c r="I112" s="117"/>
      <c r="J112" s="27"/>
      <c r="K112" s="15"/>
      <c r="L112" s="7"/>
    </row>
    <row r="113" spans="2:12" ht="17.25">
      <c r="B113" s="122" t="s">
        <v>200</v>
      </c>
      <c r="C113" s="80" t="s">
        <v>190</v>
      </c>
      <c r="D113" s="75"/>
      <c r="E113" s="75"/>
      <c r="F113" s="75"/>
      <c r="G113" s="75"/>
      <c r="H113" s="75"/>
      <c r="I113" s="118"/>
      <c r="J113" s="15"/>
      <c r="K113" s="15"/>
      <c r="L113" s="7"/>
    </row>
    <row r="114" spans="2:12" ht="17.25">
      <c r="B114" s="68"/>
      <c r="C114" s="80" t="s">
        <v>191</v>
      </c>
      <c r="D114" s="75"/>
      <c r="E114" s="75"/>
      <c r="F114" s="75"/>
      <c r="G114" s="75"/>
      <c r="H114" s="75"/>
      <c r="I114" s="118"/>
      <c r="J114" s="15"/>
      <c r="K114" s="15"/>
      <c r="L114" s="7"/>
    </row>
    <row r="115" spans="2:12" ht="28.5">
      <c r="B115" s="68"/>
      <c r="C115" s="80" t="s">
        <v>192</v>
      </c>
      <c r="D115" s="75"/>
      <c r="E115" s="75"/>
      <c r="F115" s="75"/>
      <c r="G115" s="75"/>
      <c r="H115" s="75"/>
      <c r="I115" s="118"/>
      <c r="J115" s="15"/>
      <c r="K115" s="15"/>
      <c r="L115" s="7"/>
    </row>
    <row r="116" spans="2:12" ht="17.25">
      <c r="B116" s="68"/>
      <c r="C116" s="80" t="s">
        <v>193</v>
      </c>
      <c r="D116" s="75"/>
      <c r="E116" s="75"/>
      <c r="F116" s="75"/>
      <c r="G116" s="75"/>
      <c r="H116" s="75"/>
      <c r="I116" s="118"/>
      <c r="J116" s="15"/>
      <c r="K116" s="15"/>
      <c r="L116" s="7"/>
    </row>
    <row r="117" spans="2:12" ht="18" thickBot="1">
      <c r="B117" s="81"/>
      <c r="C117" s="69" t="s">
        <v>194</v>
      </c>
      <c r="D117" s="119"/>
      <c r="E117" s="119"/>
      <c r="F117" s="119"/>
      <c r="G117" s="119"/>
      <c r="H117" s="119"/>
      <c r="I117" s="120"/>
      <c r="J117" s="15"/>
      <c r="K117" s="15"/>
      <c r="L117" s="7"/>
    </row>
    <row r="118" spans="2:12" ht="17.25">
      <c r="B118" s="121" t="s">
        <v>201</v>
      </c>
      <c r="C118" s="115" t="s">
        <v>189</v>
      </c>
      <c r="D118" s="116"/>
      <c r="E118" s="116"/>
      <c r="F118" s="116"/>
      <c r="G118" s="116"/>
      <c r="H118" s="116"/>
      <c r="I118" s="117"/>
      <c r="J118" s="15"/>
      <c r="K118" s="15"/>
      <c r="L118" s="7"/>
    </row>
    <row r="119" spans="2:12" ht="17.25">
      <c r="B119" s="122" t="s">
        <v>202</v>
      </c>
      <c r="C119" s="80" t="s">
        <v>190</v>
      </c>
      <c r="D119" s="75"/>
      <c r="E119" s="75"/>
      <c r="F119" s="75"/>
      <c r="G119" s="75"/>
      <c r="H119" s="75"/>
      <c r="I119" s="118"/>
      <c r="J119" s="15"/>
      <c r="K119" s="15"/>
      <c r="L119" s="7"/>
    </row>
    <row r="120" spans="2:12" ht="17.25">
      <c r="B120" s="68"/>
      <c r="C120" s="80" t="s">
        <v>191</v>
      </c>
      <c r="D120" s="75"/>
      <c r="E120" s="75"/>
      <c r="F120" s="75"/>
      <c r="G120" s="75"/>
      <c r="H120" s="75"/>
      <c r="I120" s="118"/>
      <c r="J120" s="15"/>
      <c r="K120" s="15"/>
      <c r="L120" s="7"/>
    </row>
    <row r="121" spans="2:12" ht="28.5">
      <c r="B121" s="68"/>
      <c r="C121" s="80" t="s">
        <v>192</v>
      </c>
      <c r="D121" s="75"/>
      <c r="E121" s="75"/>
      <c r="F121" s="75"/>
      <c r="G121" s="75"/>
      <c r="H121" s="75"/>
      <c r="I121" s="118"/>
      <c r="J121" s="15"/>
      <c r="K121" s="15"/>
      <c r="L121" s="7"/>
    </row>
    <row r="122" spans="2:12" ht="17.25">
      <c r="B122" s="68"/>
      <c r="C122" s="80" t="s">
        <v>193</v>
      </c>
      <c r="D122" s="75"/>
      <c r="E122" s="75"/>
      <c r="F122" s="75"/>
      <c r="G122" s="75"/>
      <c r="H122" s="75"/>
      <c r="I122" s="118"/>
      <c r="J122" s="15"/>
      <c r="K122" s="15"/>
      <c r="L122" s="7"/>
    </row>
    <row r="123" spans="2:12" ht="18" thickBot="1">
      <c r="B123" s="81"/>
      <c r="C123" s="69" t="s">
        <v>194</v>
      </c>
      <c r="D123" s="119"/>
      <c r="E123" s="119"/>
      <c r="F123" s="119"/>
      <c r="G123" s="119"/>
      <c r="H123" s="119"/>
      <c r="I123" s="120"/>
      <c r="J123" s="15"/>
      <c r="K123" s="15"/>
      <c r="L123" s="7"/>
    </row>
    <row r="124" spans="2:12" ht="17.25">
      <c r="B124" s="14"/>
      <c r="C124" s="14"/>
      <c r="D124" s="15"/>
      <c r="E124" s="15"/>
      <c r="F124" s="15"/>
      <c r="G124" s="15"/>
      <c r="H124" s="15"/>
      <c r="I124" s="15"/>
      <c r="J124" s="7"/>
      <c r="K124" s="15"/>
      <c r="L124" s="7"/>
    </row>
    <row r="125" spans="2:12" s="10" customFormat="1" ht="20.25">
      <c r="B125" s="65" t="s">
        <v>178</v>
      </c>
      <c r="C125" s="65"/>
      <c r="D125" s="12"/>
      <c r="E125" s="12"/>
      <c r="F125" s="12"/>
      <c r="G125" s="12"/>
      <c r="H125" s="12"/>
      <c r="I125" s="12"/>
      <c r="J125" s="12"/>
      <c r="K125" s="12"/>
      <c r="L125" s="19"/>
    </row>
    <row r="126" spans="2:12" ht="6.75" customHeight="1">
      <c r="B126" s="24"/>
      <c r="C126" s="24"/>
      <c r="D126" s="15"/>
      <c r="E126" s="15"/>
      <c r="F126" s="15"/>
      <c r="G126" s="15"/>
      <c r="H126" s="15"/>
      <c r="I126" s="15"/>
      <c r="J126" s="15"/>
      <c r="K126" s="15"/>
      <c r="L126" s="7"/>
    </row>
    <row r="127" spans="2:12" s="10" customFormat="1" ht="17.25">
      <c r="B127" s="16" t="s">
        <v>181</v>
      </c>
      <c r="C127" s="16"/>
      <c r="D127" s="12"/>
      <c r="E127" s="12"/>
      <c r="F127" s="12"/>
      <c r="G127" s="12"/>
      <c r="H127" s="12"/>
      <c r="I127" s="12"/>
      <c r="J127" s="12"/>
      <c r="K127" s="12"/>
      <c r="L127" s="19"/>
    </row>
    <row r="128" spans="2:12" ht="6" customHeight="1" thickBot="1">
      <c r="B128" s="14"/>
      <c r="C128" s="14"/>
      <c r="D128" s="15"/>
      <c r="E128" s="7"/>
      <c r="F128" s="15"/>
      <c r="G128" s="15"/>
      <c r="H128" s="15"/>
      <c r="I128" s="15"/>
      <c r="J128" s="15"/>
      <c r="K128" s="15"/>
      <c r="L128" s="7"/>
    </row>
    <row r="129" spans="2:12" ht="28.5">
      <c r="B129" s="82" t="s">
        <v>91</v>
      </c>
      <c r="C129" s="82" t="s">
        <v>110</v>
      </c>
      <c r="D129" s="82" t="s">
        <v>203</v>
      </c>
      <c r="E129" s="82" t="s">
        <v>204</v>
      </c>
      <c r="F129" s="82" t="s">
        <v>205</v>
      </c>
      <c r="G129" s="82" t="s">
        <v>206</v>
      </c>
      <c r="H129" s="15"/>
      <c r="I129" s="15"/>
      <c r="J129" s="15"/>
      <c r="K129" s="15"/>
      <c r="L129" s="7"/>
    </row>
    <row r="130" spans="2:12" ht="17.25">
      <c r="B130" s="123" t="s">
        <v>103</v>
      </c>
      <c r="C130" s="72" t="s">
        <v>189</v>
      </c>
      <c r="D130" s="108">
        <f>6146-40-8-27</f>
        <v>6071</v>
      </c>
      <c r="E130" s="108">
        <f>18895-322-42-8</f>
        <v>18523</v>
      </c>
      <c r="F130" s="108">
        <v>1</v>
      </c>
      <c r="G130" s="108">
        <v>21</v>
      </c>
      <c r="H130" s="15"/>
      <c r="I130" s="15"/>
      <c r="J130" s="15"/>
      <c r="K130" s="15"/>
      <c r="L130" s="7"/>
    </row>
    <row r="131" spans="2:12" ht="17.25">
      <c r="B131" s="123" t="s">
        <v>104</v>
      </c>
      <c r="C131" s="72" t="s">
        <v>190</v>
      </c>
      <c r="D131" s="108">
        <v>0</v>
      </c>
      <c r="E131" s="108">
        <v>0</v>
      </c>
      <c r="F131" s="108">
        <v>0</v>
      </c>
      <c r="G131" s="108">
        <v>0</v>
      </c>
      <c r="H131" s="165" t="s">
        <v>207</v>
      </c>
      <c r="I131" s="15"/>
      <c r="J131" s="15"/>
      <c r="K131" s="15"/>
      <c r="L131" s="7"/>
    </row>
    <row r="132" spans="2:12" ht="17.25">
      <c r="B132" s="123"/>
      <c r="C132" s="72" t="s">
        <v>191</v>
      </c>
      <c r="D132" s="108">
        <v>8853.6</v>
      </c>
      <c r="E132" s="108">
        <v>7921.7</v>
      </c>
      <c r="F132" s="108">
        <v>342</v>
      </c>
      <c r="G132" s="108">
        <v>0</v>
      </c>
      <c r="H132" s="15"/>
      <c r="I132" s="15"/>
      <c r="J132" s="15"/>
      <c r="K132" s="15"/>
      <c r="L132" s="7"/>
    </row>
    <row r="133" spans="2:12" ht="28.5">
      <c r="B133" s="123"/>
      <c r="C133" s="72" t="s">
        <v>192</v>
      </c>
      <c r="D133" s="108">
        <v>1643.4</v>
      </c>
      <c r="E133" s="108">
        <v>24940.1</v>
      </c>
      <c r="F133" s="108">
        <v>1837</v>
      </c>
      <c r="G133" s="108">
        <v>10</v>
      </c>
      <c r="H133" s="15"/>
      <c r="I133" s="15"/>
      <c r="J133" s="15"/>
      <c r="K133" s="15"/>
      <c r="L133" s="7"/>
    </row>
    <row r="134" spans="2:12" ht="17.25">
      <c r="B134" s="123"/>
      <c r="C134" s="72" t="s">
        <v>193</v>
      </c>
      <c r="D134" s="108"/>
      <c r="E134" s="108"/>
      <c r="F134" s="108"/>
      <c r="G134" s="108"/>
      <c r="H134" s="15"/>
      <c r="I134" s="15"/>
      <c r="J134" s="15"/>
      <c r="K134" s="15"/>
      <c r="L134" s="7"/>
    </row>
    <row r="135" spans="2:12" ht="18" thickBot="1">
      <c r="B135" s="103"/>
      <c r="C135" s="103" t="s">
        <v>194</v>
      </c>
      <c r="D135" s="109"/>
      <c r="E135" s="109"/>
      <c r="F135" s="109"/>
      <c r="G135" s="109"/>
      <c r="H135" s="15"/>
      <c r="I135" s="15"/>
      <c r="J135" s="15"/>
      <c r="K135" s="15"/>
      <c r="L135" s="7"/>
    </row>
    <row r="136" spans="2:12" ht="17.25">
      <c r="B136" s="123" t="s">
        <v>103</v>
      </c>
      <c r="C136" s="72" t="s">
        <v>189</v>
      </c>
      <c r="D136" s="108"/>
      <c r="E136" s="108"/>
      <c r="F136" s="108"/>
      <c r="G136" s="108"/>
      <c r="H136" s="15"/>
      <c r="I136" s="15"/>
      <c r="J136" s="15"/>
      <c r="K136" s="15"/>
      <c r="L136" s="7"/>
    </row>
    <row r="137" spans="2:12" ht="17.25">
      <c r="B137" s="123" t="s">
        <v>199</v>
      </c>
      <c r="C137" s="72" t="s">
        <v>190</v>
      </c>
      <c r="D137" s="108"/>
      <c r="E137" s="108"/>
      <c r="F137" s="108"/>
      <c r="G137" s="108"/>
      <c r="H137" s="15"/>
      <c r="I137" s="15"/>
      <c r="J137" s="15"/>
      <c r="K137" s="15"/>
      <c r="L137" s="7"/>
    </row>
    <row r="138" spans="2:12" ht="17.25">
      <c r="B138" s="123"/>
      <c r="C138" s="72" t="s">
        <v>191</v>
      </c>
      <c r="D138" s="108"/>
      <c r="E138" s="108"/>
      <c r="F138" s="108"/>
      <c r="G138" s="108"/>
      <c r="H138" s="15"/>
      <c r="I138" s="15"/>
      <c r="J138" s="15"/>
      <c r="K138" s="15"/>
      <c r="L138" s="7"/>
    </row>
    <row r="139" spans="2:12" ht="28.5">
      <c r="B139" s="123"/>
      <c r="C139" s="72" t="s">
        <v>192</v>
      </c>
      <c r="D139" s="108"/>
      <c r="E139" s="108"/>
      <c r="F139" s="108"/>
      <c r="G139" s="108"/>
      <c r="H139" s="15"/>
      <c r="I139" s="15"/>
      <c r="J139" s="15"/>
      <c r="K139" s="15"/>
      <c r="L139" s="7"/>
    </row>
    <row r="140" spans="2:12" ht="17.25">
      <c r="B140" s="123"/>
      <c r="C140" s="72" t="s">
        <v>193</v>
      </c>
      <c r="D140" s="108"/>
      <c r="E140" s="108"/>
      <c r="F140" s="108"/>
      <c r="G140" s="108"/>
      <c r="H140" s="15"/>
      <c r="I140" s="15"/>
      <c r="J140" s="15"/>
      <c r="K140" s="15"/>
      <c r="L140" s="7"/>
    </row>
    <row r="141" spans="2:12" ht="18" thickBot="1">
      <c r="B141" s="103"/>
      <c r="C141" s="103" t="s">
        <v>194</v>
      </c>
      <c r="D141" s="109"/>
      <c r="E141" s="109"/>
      <c r="F141" s="109"/>
      <c r="G141" s="109"/>
      <c r="H141" s="15"/>
      <c r="I141" s="15"/>
      <c r="J141" s="15"/>
      <c r="K141" s="15"/>
      <c r="L141" s="7"/>
    </row>
    <row r="142" spans="2:12" ht="17.25">
      <c r="B142" s="179" t="s">
        <v>185</v>
      </c>
      <c r="C142" s="178" t="s">
        <v>189</v>
      </c>
      <c r="D142" s="184"/>
      <c r="E142" s="184"/>
      <c r="F142" s="184"/>
      <c r="G142" s="184"/>
      <c r="H142" s="15"/>
      <c r="I142" s="15"/>
      <c r="J142" s="15"/>
      <c r="K142" s="15"/>
      <c r="L142" s="7"/>
    </row>
    <row r="143" spans="2:12" ht="17.25">
      <c r="B143" s="123"/>
      <c r="C143" s="72" t="s">
        <v>190</v>
      </c>
      <c r="D143" s="108"/>
      <c r="E143" s="108"/>
      <c r="F143" s="108"/>
      <c r="G143" s="108"/>
      <c r="H143" s="15"/>
      <c r="I143" s="15"/>
      <c r="J143" s="15"/>
      <c r="K143" s="15"/>
      <c r="L143" s="7"/>
    </row>
    <row r="144" spans="2:12" ht="17.25">
      <c r="B144" s="123"/>
      <c r="C144" s="72" t="s">
        <v>191</v>
      </c>
      <c r="D144" s="108"/>
      <c r="E144" s="108"/>
      <c r="F144" s="108"/>
      <c r="G144" s="108"/>
      <c r="H144" s="15"/>
      <c r="I144" s="15"/>
      <c r="J144" s="15"/>
      <c r="K144" s="15"/>
      <c r="L144" s="7"/>
    </row>
    <row r="145" spans="2:12" ht="28.5">
      <c r="B145" s="123"/>
      <c r="C145" s="72" t="s">
        <v>192</v>
      </c>
      <c r="D145" s="108">
        <v>1771.8</v>
      </c>
      <c r="E145" s="108">
        <v>23817.4</v>
      </c>
      <c r="F145" s="108">
        <v>1604</v>
      </c>
      <c r="G145" s="108">
        <v>6.4</v>
      </c>
      <c r="H145" s="15"/>
      <c r="I145" s="15"/>
      <c r="J145" s="15"/>
      <c r="K145" s="15"/>
      <c r="L145" s="7"/>
    </row>
    <row r="146" spans="2:12" ht="17.25">
      <c r="B146" s="123"/>
      <c r="C146" s="72" t="s">
        <v>193</v>
      </c>
      <c r="D146" s="108"/>
      <c r="E146" s="108"/>
      <c r="F146" s="108"/>
      <c r="G146" s="108"/>
      <c r="H146" s="15"/>
      <c r="I146" s="15"/>
      <c r="J146" s="15"/>
      <c r="K146" s="15"/>
      <c r="L146" s="7"/>
    </row>
    <row r="147" spans="2:12" ht="18" thickBot="1">
      <c r="B147" s="103"/>
      <c r="C147" s="103" t="s">
        <v>194</v>
      </c>
      <c r="D147" s="109"/>
      <c r="E147" s="109"/>
      <c r="F147" s="109"/>
      <c r="G147" s="109"/>
      <c r="H147" s="15"/>
      <c r="I147" s="15"/>
      <c r="J147" s="15"/>
      <c r="K147" s="15"/>
      <c r="L147" s="7"/>
    </row>
    <row r="148" spans="2:12" ht="17.25">
      <c r="B148" s="123" t="s">
        <v>72</v>
      </c>
      <c r="C148" s="72" t="s">
        <v>189</v>
      </c>
      <c r="D148" s="108"/>
      <c r="E148" s="108"/>
      <c r="F148" s="108"/>
      <c r="G148" s="108"/>
      <c r="H148" s="15"/>
      <c r="I148" s="15"/>
      <c r="J148" s="15"/>
      <c r="K148" s="15"/>
      <c r="L148" s="7"/>
    </row>
    <row r="149" spans="2:12" ht="17.25">
      <c r="B149" s="123"/>
      <c r="C149" s="72" t="s">
        <v>190</v>
      </c>
      <c r="D149" s="108"/>
      <c r="E149" s="108"/>
      <c r="F149" s="108"/>
      <c r="G149" s="108"/>
      <c r="H149" s="15"/>
      <c r="I149" s="15"/>
      <c r="J149" s="15"/>
      <c r="K149" s="15"/>
      <c r="L149" s="7"/>
    </row>
    <row r="150" spans="2:12" ht="17.25">
      <c r="B150" s="123"/>
      <c r="C150" s="72" t="s">
        <v>191</v>
      </c>
      <c r="D150" s="108"/>
      <c r="E150" s="108"/>
      <c r="F150" s="108"/>
      <c r="G150" s="108"/>
      <c r="H150" s="15"/>
      <c r="I150" s="15"/>
      <c r="J150" s="15"/>
      <c r="K150" s="15"/>
      <c r="L150" s="7"/>
    </row>
    <row r="151" spans="2:12" ht="28.5">
      <c r="B151" s="123"/>
      <c r="C151" s="72" t="s">
        <v>192</v>
      </c>
      <c r="D151" s="108"/>
      <c r="E151" s="108"/>
      <c r="F151" s="108"/>
      <c r="G151" s="108"/>
      <c r="H151" s="15"/>
      <c r="I151" s="15"/>
      <c r="J151" s="15"/>
      <c r="K151" s="15"/>
      <c r="L151" s="7"/>
    </row>
    <row r="152" spans="2:12" ht="17.25">
      <c r="B152" s="123"/>
      <c r="C152" s="72" t="s">
        <v>193</v>
      </c>
      <c r="D152" s="108"/>
      <c r="E152" s="108"/>
      <c r="F152" s="108"/>
      <c r="G152" s="108"/>
      <c r="H152" s="15"/>
      <c r="I152" s="15"/>
      <c r="J152" s="15"/>
      <c r="K152" s="15"/>
      <c r="L152" s="7"/>
    </row>
    <row r="153" spans="2:12" ht="18" thickBot="1">
      <c r="B153" s="103"/>
      <c r="C153" s="103" t="s">
        <v>194</v>
      </c>
      <c r="D153" s="109"/>
      <c r="E153" s="109"/>
      <c r="F153" s="109"/>
      <c r="G153" s="109"/>
      <c r="H153" s="15"/>
      <c r="I153" s="15"/>
      <c r="J153" s="15"/>
      <c r="K153" s="15"/>
      <c r="L153" s="7"/>
    </row>
    <row r="154" spans="2:12" ht="17.25">
      <c r="B154" s="123" t="s">
        <v>186</v>
      </c>
      <c r="C154" s="72" t="s">
        <v>189</v>
      </c>
      <c r="D154" s="108"/>
      <c r="E154" s="108"/>
      <c r="F154" s="108"/>
      <c r="G154" s="108"/>
      <c r="H154" s="15"/>
      <c r="I154" s="15"/>
      <c r="J154" s="15"/>
      <c r="K154" s="15"/>
      <c r="L154" s="7"/>
    </row>
    <row r="155" spans="2:12" ht="17.25">
      <c r="B155" s="123"/>
      <c r="C155" s="72" t="s">
        <v>190</v>
      </c>
      <c r="D155" s="108"/>
      <c r="E155" s="108"/>
      <c r="F155" s="108"/>
      <c r="G155" s="108"/>
      <c r="H155" s="15"/>
      <c r="I155" s="15"/>
      <c r="J155" s="15"/>
      <c r="K155" s="15"/>
      <c r="L155" s="7"/>
    </row>
    <row r="156" spans="2:12" ht="17.25">
      <c r="B156" s="123"/>
      <c r="C156" s="72" t="s">
        <v>191</v>
      </c>
      <c r="D156" s="108"/>
      <c r="E156" s="108"/>
      <c r="F156" s="108"/>
      <c r="G156" s="108"/>
      <c r="H156" s="15"/>
      <c r="I156" s="15"/>
      <c r="J156" s="15"/>
      <c r="K156" s="15"/>
      <c r="L156" s="7"/>
    </row>
    <row r="157" spans="2:12" ht="28.5">
      <c r="B157" s="123"/>
      <c r="C157" s="72" t="s">
        <v>192</v>
      </c>
      <c r="D157" s="108"/>
      <c r="E157" s="108"/>
      <c r="F157" s="108"/>
      <c r="G157" s="108"/>
      <c r="H157" s="15"/>
      <c r="I157" s="15"/>
      <c r="J157" s="15"/>
      <c r="K157" s="15"/>
      <c r="L157" s="7"/>
    </row>
    <row r="158" spans="2:12" ht="17.25">
      <c r="B158" s="123"/>
      <c r="C158" s="72" t="s">
        <v>193</v>
      </c>
      <c r="D158" s="108"/>
      <c r="E158" s="108"/>
      <c r="F158" s="108"/>
      <c r="G158" s="108"/>
      <c r="H158" s="15"/>
      <c r="I158" s="15"/>
      <c r="J158" s="15"/>
      <c r="K158" s="15"/>
      <c r="L158" s="7"/>
    </row>
    <row r="159" spans="2:12" ht="18" thickBot="1">
      <c r="B159" s="103"/>
      <c r="C159" s="103" t="s">
        <v>194</v>
      </c>
      <c r="D159" s="109"/>
      <c r="E159" s="109"/>
      <c r="F159" s="109"/>
      <c r="G159" s="109"/>
      <c r="H159" s="15"/>
      <c r="I159" s="15"/>
      <c r="J159" s="15"/>
      <c r="K159" s="15"/>
      <c r="L159" s="7"/>
    </row>
    <row r="160" spans="2:12" ht="17.25">
      <c r="B160" s="123" t="s">
        <v>187</v>
      </c>
      <c r="C160" s="72" t="s">
        <v>189</v>
      </c>
      <c r="D160" s="108"/>
      <c r="E160" s="108"/>
      <c r="F160" s="108"/>
      <c r="G160" s="108"/>
      <c r="H160" s="15"/>
      <c r="I160" s="15"/>
      <c r="J160" s="15"/>
      <c r="K160" s="15"/>
      <c r="L160" s="7"/>
    </row>
    <row r="161" spans="2:12" ht="17.25">
      <c r="B161" s="123"/>
      <c r="C161" s="72" t="s">
        <v>190</v>
      </c>
      <c r="D161" s="108"/>
      <c r="E161" s="108"/>
      <c r="F161" s="108"/>
      <c r="G161" s="108"/>
      <c r="H161" s="15"/>
      <c r="I161" s="15"/>
      <c r="J161" s="15"/>
      <c r="K161" s="15"/>
      <c r="L161" s="7"/>
    </row>
    <row r="162" spans="2:12" ht="17.25">
      <c r="B162" s="123"/>
      <c r="C162" s="72" t="s">
        <v>191</v>
      </c>
      <c r="D162" s="108"/>
      <c r="E162" s="108"/>
      <c r="F162" s="108"/>
      <c r="G162" s="108"/>
      <c r="H162" s="15"/>
      <c r="I162" s="15"/>
      <c r="J162" s="15"/>
      <c r="K162" s="15"/>
      <c r="L162" s="7"/>
    </row>
    <row r="163" spans="2:12" ht="28.5">
      <c r="B163" s="123"/>
      <c r="C163" s="72" t="s">
        <v>192</v>
      </c>
      <c r="D163" s="108"/>
      <c r="E163" s="108"/>
      <c r="F163" s="108"/>
      <c r="G163" s="108"/>
      <c r="H163" s="15"/>
      <c r="I163" s="15"/>
      <c r="J163" s="15"/>
      <c r="K163" s="15"/>
      <c r="L163" s="7"/>
    </row>
    <row r="164" spans="2:12" ht="17.25">
      <c r="B164" s="123"/>
      <c r="C164" s="72" t="s">
        <v>193</v>
      </c>
      <c r="D164" s="108"/>
      <c r="E164" s="108"/>
      <c r="F164" s="108"/>
      <c r="G164" s="108"/>
      <c r="H164" s="15"/>
      <c r="I164" s="15"/>
      <c r="J164" s="15"/>
      <c r="K164" s="15"/>
      <c r="L164" s="7"/>
    </row>
    <row r="165" spans="2:12" ht="18" thickBot="1">
      <c r="B165" s="103"/>
      <c r="C165" s="103" t="s">
        <v>194</v>
      </c>
      <c r="D165" s="109"/>
      <c r="E165" s="109"/>
      <c r="F165" s="109"/>
      <c r="G165" s="109"/>
      <c r="H165" s="15"/>
      <c r="I165" s="15"/>
      <c r="J165" s="15"/>
      <c r="K165" s="15"/>
      <c r="L165" s="7"/>
    </row>
    <row r="166" spans="2:12" ht="17.25">
      <c r="B166" s="123" t="s">
        <v>188</v>
      </c>
      <c r="C166" s="72" t="s">
        <v>189</v>
      </c>
      <c r="D166" s="108"/>
      <c r="E166" s="108"/>
      <c r="F166" s="108"/>
      <c r="G166" s="108"/>
      <c r="H166" s="28"/>
      <c r="I166" s="28"/>
      <c r="J166" s="7"/>
      <c r="K166" s="15"/>
      <c r="L166" s="7"/>
    </row>
    <row r="167" spans="2:12" ht="17.25">
      <c r="B167" s="123"/>
      <c r="C167" s="72" t="s">
        <v>190</v>
      </c>
      <c r="D167" s="108"/>
      <c r="E167" s="108"/>
      <c r="F167" s="108"/>
      <c r="G167" s="108"/>
      <c r="H167" s="28"/>
      <c r="I167" s="28"/>
      <c r="J167" s="7"/>
      <c r="K167" s="15"/>
      <c r="L167" s="7"/>
    </row>
    <row r="168" spans="2:12" ht="17.25">
      <c r="B168" s="123"/>
      <c r="C168" s="72" t="s">
        <v>191</v>
      </c>
      <c r="D168" s="108"/>
      <c r="E168" s="108"/>
      <c r="F168" s="108"/>
      <c r="G168" s="108"/>
      <c r="H168" s="28"/>
      <c r="I168" s="28"/>
      <c r="J168" s="7"/>
      <c r="K168" s="15"/>
      <c r="L168" s="7"/>
    </row>
    <row r="169" spans="2:12" ht="28.5">
      <c r="B169" s="123"/>
      <c r="C169" s="72" t="s">
        <v>192</v>
      </c>
      <c r="D169" s="108"/>
      <c r="E169" s="108"/>
      <c r="F169" s="108"/>
      <c r="G169" s="108"/>
      <c r="H169" s="28"/>
      <c r="I169" s="28"/>
      <c r="J169" s="7"/>
      <c r="K169" s="15"/>
      <c r="L169" s="7"/>
    </row>
    <row r="170" spans="2:12" ht="17.25">
      <c r="B170" s="123"/>
      <c r="C170" s="72" t="s">
        <v>193</v>
      </c>
      <c r="D170" s="108"/>
      <c r="E170" s="108"/>
      <c r="F170" s="108"/>
      <c r="G170" s="108"/>
      <c r="H170" s="29"/>
      <c r="I170" s="29"/>
      <c r="J170" s="7"/>
      <c r="K170" s="15"/>
      <c r="L170" s="7"/>
    </row>
    <row r="171" spans="2:12" ht="18" thickBot="1">
      <c r="B171" s="103"/>
      <c r="C171" s="103" t="s">
        <v>194</v>
      </c>
      <c r="D171" s="109"/>
      <c r="E171" s="109"/>
      <c r="F171" s="109"/>
      <c r="G171" s="109"/>
      <c r="H171" s="29"/>
      <c r="I171" s="29"/>
      <c r="J171" s="15"/>
      <c r="K171" s="15"/>
      <c r="L171" s="7"/>
    </row>
    <row r="172" spans="2:12" ht="17.25">
      <c r="B172" s="14"/>
      <c r="C172" s="14"/>
      <c r="D172" s="15"/>
      <c r="E172" s="15"/>
      <c r="F172" s="15"/>
      <c r="G172" s="15"/>
      <c r="H172" s="15"/>
      <c r="I172" s="15"/>
      <c r="J172" s="15"/>
      <c r="K172" s="15"/>
      <c r="L172" s="15"/>
    </row>
    <row r="173" spans="2:12">
      <c r="C173" s="2"/>
      <c r="D173" s="1"/>
      <c r="E173" s="1"/>
      <c r="F173" s="1"/>
      <c r="G173" s="1"/>
      <c r="H173" s="1"/>
      <c r="I173" s="1"/>
      <c r="J173" s="1"/>
    </row>
    <row r="174" spans="2:12">
      <c r="C174" s="2"/>
      <c r="D174" s="1"/>
      <c r="E174" s="1"/>
      <c r="F174" s="1"/>
      <c r="G174" s="1"/>
      <c r="H174" s="1"/>
      <c r="I174" s="1"/>
      <c r="J174" s="1"/>
    </row>
    <row r="175" spans="2:12">
      <c r="B175" t="s">
        <v>208</v>
      </c>
      <c r="C175" s="2"/>
      <c r="D175" s="1"/>
      <c r="E175" s="1"/>
      <c r="F175" s="1"/>
      <c r="G175" s="1"/>
      <c r="H175" s="1"/>
      <c r="I175" s="1"/>
      <c r="J175" s="1"/>
    </row>
    <row r="176" spans="2:12">
      <c r="C176" s="2"/>
      <c r="D176" s="1"/>
      <c r="E176" s="1"/>
      <c r="F176" s="1"/>
      <c r="G176" s="1"/>
      <c r="H176" s="1"/>
      <c r="I176" s="1"/>
      <c r="J176" s="1"/>
    </row>
    <row r="177" spans="3:9">
      <c r="C177" s="2"/>
      <c r="D177" s="1"/>
      <c r="E177" s="1"/>
      <c r="F177" s="1"/>
      <c r="G177" s="1"/>
      <c r="H177" s="1"/>
      <c r="I177" s="1"/>
    </row>
    <row r="178" spans="3:9">
      <c r="C178" s="2"/>
      <c r="D178" s="1"/>
      <c r="E178" s="1"/>
      <c r="F178" s="1"/>
      <c r="G178" s="1"/>
      <c r="H178" s="1"/>
      <c r="I178" s="1"/>
    </row>
    <row r="179" spans="3:9">
      <c r="C179" s="3"/>
      <c r="D179" s="1"/>
      <c r="E179" s="1"/>
      <c r="F179" s="1"/>
      <c r="G179" s="1"/>
      <c r="H179" s="1"/>
      <c r="I179" s="1"/>
    </row>
    <row r="180" spans="3:9">
      <c r="C180" s="1"/>
      <c r="D180" s="1"/>
      <c r="E180" s="1"/>
      <c r="F180" s="1"/>
      <c r="G180" s="1"/>
      <c r="H180" s="1"/>
      <c r="I180" s="1"/>
    </row>
    <row r="181" spans="3:9">
      <c r="C181" s="1"/>
      <c r="D181" s="1"/>
      <c r="E181" s="1"/>
      <c r="F181" s="1"/>
      <c r="G181" s="1"/>
      <c r="H181" s="1"/>
      <c r="I181" s="1"/>
    </row>
  </sheetData>
  <mergeCells count="7">
    <mergeCell ref="B6:N6"/>
    <mergeCell ref="F1:I2"/>
    <mergeCell ref="B74:B75"/>
    <mergeCell ref="C74:C75"/>
    <mergeCell ref="D74:E74"/>
    <mergeCell ref="F74:G74"/>
    <mergeCell ref="H74:I74"/>
  </mergeCells>
  <hyperlinks>
    <hyperlink ref="B8" location="DetailedWater" display="Water" xr:uid="{00000000-0004-0000-0300-000000000000}"/>
    <hyperlink ref="B9" location="DetailedWaterConsumed" display="Water consumed (megalitres)" xr:uid="{00000000-0004-0000-0300-000001000000}"/>
    <hyperlink ref="B10" location="DetailedWaterRecycled" display="Water recycled (megalitres)" xr:uid="{00000000-0004-0000-0300-000002000000}"/>
    <hyperlink ref="B11" location="DetailedRainwater_harvested__megalitres" display="Rainwater harvested (megalitres)" xr:uid="{00000000-0004-0000-0300-000003000000}"/>
    <hyperlink ref="D9" location="DetailedktCO2e" display="Kilotonnes (kt) of CO2-e [2] (Scope 1 and 2)" xr:uid="{00000000-0004-0000-0300-000004000000}"/>
    <hyperlink ref="D10" location="DetailedIntensity" display="Emissions intensity (kg per unit)" xr:uid="{00000000-0004-0000-0300-000005000000}"/>
    <hyperlink ref="D11" location="DetailedGHGDetail" display="Greenhouse gas (GHG) emissions (detail)" xr:uid="{00000000-0004-0000-0300-000006000000}"/>
    <hyperlink ref="G8" location="DetailedWaste1" display="Waste and recycling" xr:uid="{00000000-0004-0000-0300-000007000000}"/>
    <hyperlink ref="G9" location="DetailedWaste" display="General waste, recycling and hazardous waste (metric tonnes)" xr:uid="{00000000-0004-0000-0300-000008000000}"/>
    <hyperlink ref="D8" location="Detailedemissions" display="Energy and Emissions" xr:uid="{00000000-0004-0000-0300-000009000000}"/>
  </hyperlinks>
  <pageMargins left="0.7" right="0.7" top="0.75" bottom="0.75" header="0.3" footer="0.3"/>
  <pageSetup paperSize="9" orientation="portrait" horizontalDpi="4294967294" verticalDpi="0" r:id="rId1"/>
  <headerFooter>
    <oddFooter>&amp;C_x000D_&amp;1#&amp;"Calibri"&amp;8&amp;K000000 Classification: General</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tabColor rgb="FFFFC000"/>
  </sheetPr>
  <dimension ref="A1:Z311"/>
  <sheetViews>
    <sheetView showGridLines="0" zoomScaleNormal="100" workbookViewId="0"/>
  </sheetViews>
  <sheetFormatPr defaultColWidth="11" defaultRowHeight="15.75"/>
  <cols>
    <col min="1" max="1" width="2.375" customWidth="1"/>
    <col min="2" max="2" width="24.875" customWidth="1"/>
    <col min="3" max="4" width="10.875" customWidth="1"/>
    <col min="5" max="5" width="14" customWidth="1"/>
    <col min="6" max="6" width="13.125" customWidth="1"/>
    <col min="7" max="12" width="13.75" customWidth="1"/>
  </cols>
  <sheetData>
    <row r="1" spans="1:19" s="270" customFormat="1" ht="95.1" customHeight="1">
      <c r="B1" s="271" t="s">
        <v>209</v>
      </c>
      <c r="C1" s="272"/>
      <c r="D1" s="273"/>
      <c r="E1" s="273"/>
      <c r="F1" s="273"/>
      <c r="G1" s="273"/>
      <c r="H1" s="273"/>
      <c r="K1" s="269"/>
    </row>
    <row r="2" spans="1:19">
      <c r="A2" s="6"/>
      <c r="B2" t="s">
        <v>1</v>
      </c>
      <c r="C2" s="200">
        <v>45183</v>
      </c>
      <c r="D2" s="6"/>
      <c r="E2" s="6"/>
      <c r="F2" s="6"/>
      <c r="G2" s="6"/>
      <c r="H2" s="6"/>
      <c r="I2" s="6"/>
      <c r="J2" s="6"/>
      <c r="K2" s="6"/>
      <c r="L2" s="6"/>
    </row>
    <row r="3" spans="1:19">
      <c r="A3" s="6"/>
      <c r="B3" t="s">
        <v>174</v>
      </c>
      <c r="C3" s="5"/>
      <c r="D3" s="6"/>
      <c r="E3" s="6"/>
      <c r="F3" s="6"/>
      <c r="G3" s="6"/>
      <c r="H3" s="6"/>
      <c r="I3" s="6"/>
      <c r="J3" s="6"/>
      <c r="K3" s="6"/>
      <c r="L3" s="6"/>
    </row>
    <row r="4" spans="1:19">
      <c r="A4" s="6"/>
      <c r="B4" s="663" t="s">
        <v>3</v>
      </c>
      <c r="C4" s="663"/>
      <c r="D4" s="663"/>
      <c r="E4" s="663"/>
      <c r="F4" s="663"/>
      <c r="G4" s="663"/>
      <c r="H4" s="663"/>
      <c r="I4" s="663"/>
      <c r="J4" s="663"/>
      <c r="K4" s="663"/>
      <c r="L4" s="663"/>
      <c r="M4" s="663"/>
      <c r="N4" s="663"/>
    </row>
    <row r="5" spans="1:19" s="283" customFormat="1" ht="17.25">
      <c r="B5" s="284" t="s">
        <v>4</v>
      </c>
    </row>
    <row r="6" spans="1:19" s="486" customFormat="1" ht="5.25" customHeight="1">
      <c r="B6" s="487"/>
      <c r="N6" s="551"/>
      <c r="O6" s="551"/>
      <c r="P6" s="551"/>
      <c r="Q6" s="551"/>
      <c r="R6"/>
      <c r="S6"/>
    </row>
    <row r="7" spans="1:19" ht="18.75">
      <c r="A7" s="6"/>
      <c r="B7" s="675" t="s">
        <v>210</v>
      </c>
      <c r="C7" s="675"/>
      <c r="D7" s="675"/>
      <c r="E7" s="675"/>
      <c r="G7" s="676" t="s">
        <v>211</v>
      </c>
      <c r="H7" s="676"/>
      <c r="I7" s="676"/>
      <c r="J7" s="676"/>
      <c r="K7" s="676"/>
      <c r="L7" s="676"/>
      <c r="N7" s="676" t="s">
        <v>212</v>
      </c>
      <c r="O7" s="676"/>
      <c r="P7" s="676"/>
      <c r="Q7" s="676"/>
    </row>
    <row r="8" spans="1:19" ht="18.75" customHeight="1">
      <c r="A8" s="6"/>
      <c r="B8" s="677" t="s">
        <v>213</v>
      </c>
      <c r="C8" s="677"/>
      <c r="D8" s="677"/>
      <c r="E8" s="677"/>
      <c r="G8" s="677" t="s">
        <v>214</v>
      </c>
      <c r="H8" s="677"/>
      <c r="I8" s="677"/>
      <c r="J8" s="677"/>
      <c r="K8" s="677"/>
      <c r="L8" s="677"/>
      <c r="N8" s="676" t="s">
        <v>35</v>
      </c>
      <c r="O8" s="676"/>
      <c r="P8" s="676"/>
      <c r="Q8" s="676"/>
    </row>
    <row r="9" spans="1:19" ht="18.75">
      <c r="A9" s="6"/>
      <c r="B9" s="676" t="s">
        <v>215</v>
      </c>
      <c r="C9" s="676"/>
      <c r="D9" s="676"/>
      <c r="E9" s="676"/>
      <c r="G9" s="678" t="s">
        <v>216</v>
      </c>
      <c r="H9" s="678"/>
      <c r="I9" s="678"/>
      <c r="J9" s="678"/>
      <c r="K9" s="678"/>
      <c r="L9" s="678"/>
    </row>
    <row r="10" spans="1:19">
      <c r="A10" s="6"/>
      <c r="B10" s="677" t="s">
        <v>217</v>
      </c>
      <c r="C10" s="677"/>
      <c r="D10" s="677"/>
      <c r="E10" s="677"/>
      <c r="G10" s="678" t="s">
        <v>218</v>
      </c>
      <c r="H10" s="678"/>
      <c r="I10" s="678"/>
      <c r="J10" s="678"/>
      <c r="K10" s="678"/>
      <c r="L10" s="678"/>
    </row>
    <row r="11" spans="1:19" ht="18.75">
      <c r="A11" s="6"/>
      <c r="B11" s="676" t="s">
        <v>219</v>
      </c>
      <c r="C11" s="676"/>
      <c r="D11" s="676"/>
      <c r="E11" s="676"/>
      <c r="G11" s="677" t="s">
        <v>220</v>
      </c>
      <c r="H11" s="677"/>
      <c r="I11" s="677"/>
      <c r="J11" s="677"/>
      <c r="K11" s="677"/>
      <c r="L11" s="677"/>
    </row>
    <row r="12" spans="1:19">
      <c r="A12" s="6"/>
      <c r="B12" s="677" t="s">
        <v>221</v>
      </c>
      <c r="C12" s="677"/>
      <c r="D12" s="677"/>
      <c r="E12" s="677"/>
      <c r="G12" s="677" t="s">
        <v>222</v>
      </c>
      <c r="H12" s="677"/>
      <c r="I12" s="677"/>
      <c r="J12" s="677"/>
      <c r="K12" s="677"/>
      <c r="L12" s="677"/>
    </row>
    <row r="13" spans="1:19">
      <c r="A13" s="6"/>
      <c r="B13" s="677" t="s">
        <v>223</v>
      </c>
      <c r="C13" s="677"/>
      <c r="D13" s="677"/>
      <c r="E13" s="677"/>
      <c r="G13" s="677" t="s">
        <v>224</v>
      </c>
      <c r="H13" s="677"/>
      <c r="I13" s="677"/>
      <c r="J13" s="677"/>
      <c r="K13" s="677"/>
      <c r="L13" s="677"/>
    </row>
    <row r="14" spans="1:19">
      <c r="A14" s="6"/>
      <c r="B14" s="677" t="s">
        <v>225</v>
      </c>
      <c r="C14" s="677"/>
      <c r="D14" s="677"/>
      <c r="E14" s="677"/>
      <c r="G14" s="677" t="s">
        <v>226</v>
      </c>
      <c r="H14" s="677"/>
      <c r="I14" s="677"/>
      <c r="J14" s="677"/>
      <c r="K14" s="677"/>
      <c r="L14" s="677"/>
      <c r="N14" s="6"/>
      <c r="O14" s="6"/>
      <c r="P14" s="6"/>
      <c r="Q14" s="6"/>
      <c r="R14" s="6"/>
    </row>
    <row r="15" spans="1:19">
      <c r="A15" s="6"/>
      <c r="B15" s="677" t="s">
        <v>227</v>
      </c>
      <c r="C15" s="677"/>
      <c r="D15" s="677"/>
      <c r="E15" s="677"/>
      <c r="G15" s="677" t="s">
        <v>228</v>
      </c>
      <c r="H15" s="677"/>
      <c r="I15" s="677"/>
      <c r="J15" s="677"/>
      <c r="K15" s="677"/>
      <c r="L15" s="677"/>
      <c r="N15" s="6"/>
      <c r="O15" s="6"/>
      <c r="P15" s="6"/>
      <c r="Q15" s="6"/>
      <c r="R15" s="6"/>
    </row>
    <row r="16" spans="1:19">
      <c r="A16" s="6"/>
      <c r="B16" s="677" t="s">
        <v>229</v>
      </c>
      <c r="C16" s="677"/>
      <c r="D16" s="677"/>
      <c r="E16" s="677"/>
      <c r="G16" s="677" t="s">
        <v>230</v>
      </c>
      <c r="H16" s="677"/>
      <c r="I16" s="677"/>
      <c r="J16" s="677"/>
      <c r="K16" s="677"/>
      <c r="L16" s="677"/>
      <c r="N16" s="6"/>
      <c r="O16" s="6"/>
      <c r="P16" s="6"/>
      <c r="Q16" s="6"/>
      <c r="R16" s="6"/>
    </row>
    <row r="17" spans="1:20">
      <c r="A17" s="6"/>
      <c r="B17" s="677" t="s">
        <v>231</v>
      </c>
      <c r="C17" s="677"/>
      <c r="D17" s="677"/>
      <c r="E17" s="677"/>
      <c r="G17" s="677" t="s">
        <v>232</v>
      </c>
      <c r="H17" s="677"/>
      <c r="I17" s="677"/>
      <c r="J17" s="677"/>
      <c r="K17" s="677"/>
      <c r="L17" s="677"/>
      <c r="N17" s="6"/>
      <c r="O17" s="6"/>
      <c r="P17" s="6"/>
      <c r="Q17" s="6"/>
      <c r="R17" s="6"/>
    </row>
    <row r="18" spans="1:20" ht="18.75" customHeight="1">
      <c r="A18" s="6"/>
      <c r="B18" s="677" t="s">
        <v>233</v>
      </c>
      <c r="C18" s="677"/>
      <c r="D18" s="677"/>
      <c r="E18" s="677"/>
      <c r="G18" s="676" t="s">
        <v>234</v>
      </c>
      <c r="H18" s="676"/>
      <c r="I18" s="676"/>
      <c r="J18" s="676"/>
      <c r="K18" s="676"/>
      <c r="L18" s="676"/>
      <c r="N18" s="6"/>
      <c r="O18" s="6"/>
      <c r="P18" s="6"/>
      <c r="Q18" s="6"/>
      <c r="R18" s="6"/>
    </row>
    <row r="19" spans="1:20">
      <c r="A19" s="6"/>
      <c r="B19" s="677" t="s">
        <v>235</v>
      </c>
      <c r="C19" s="677"/>
      <c r="D19" s="677"/>
      <c r="E19" s="677"/>
      <c r="G19" s="677" t="s">
        <v>236</v>
      </c>
      <c r="H19" s="677"/>
      <c r="I19" s="677"/>
      <c r="J19" s="677"/>
      <c r="K19" s="677"/>
      <c r="L19" s="677"/>
      <c r="N19" s="6"/>
      <c r="O19" s="6"/>
      <c r="P19" s="6"/>
      <c r="Q19" s="6"/>
      <c r="R19" s="6"/>
    </row>
    <row r="20" spans="1:20" ht="18.75" customHeight="1">
      <c r="A20" s="6"/>
      <c r="B20" s="677" t="s">
        <v>237</v>
      </c>
      <c r="C20" s="677"/>
      <c r="D20" s="677"/>
      <c r="E20" s="677"/>
      <c r="G20" s="676" t="s">
        <v>238</v>
      </c>
      <c r="H20" s="676"/>
      <c r="I20" s="676"/>
      <c r="J20" s="676"/>
      <c r="K20" s="676"/>
      <c r="L20" s="676"/>
      <c r="N20" s="6"/>
      <c r="O20" s="6"/>
      <c r="P20" s="6"/>
      <c r="Q20" s="6"/>
      <c r="R20" s="6"/>
    </row>
    <row r="21" spans="1:20">
      <c r="A21" s="6"/>
      <c r="B21" s="107"/>
      <c r="C21" s="84"/>
      <c r="G21" s="85"/>
      <c r="H21" s="341"/>
      <c r="N21" s="6"/>
      <c r="O21" s="6"/>
      <c r="P21" s="6"/>
      <c r="Q21" s="6"/>
      <c r="R21" s="6"/>
    </row>
    <row r="22" spans="1:20" ht="5.25" customHeight="1">
      <c r="A22" s="6"/>
      <c r="B22" s="84"/>
      <c r="C22" s="84"/>
      <c r="H22" s="342"/>
      <c r="I22" s="6"/>
      <c r="J22" s="6"/>
      <c r="K22" s="6"/>
      <c r="L22" s="6"/>
      <c r="N22" s="6"/>
      <c r="O22" s="6"/>
      <c r="P22" s="6"/>
      <c r="Q22" s="6"/>
      <c r="R22" s="6"/>
    </row>
    <row r="23" spans="1:20" s="270" customFormat="1" ht="20.25">
      <c r="B23" s="285" t="s">
        <v>210</v>
      </c>
      <c r="C23" s="286"/>
    </row>
    <row r="24" spans="1:20" ht="16.5" thickBot="1">
      <c r="A24" s="63" t="s">
        <v>239</v>
      </c>
      <c r="C24" s="492"/>
    </row>
    <row r="25" spans="1:20" ht="31.5">
      <c r="A25" s="6"/>
      <c r="B25" s="311" t="s">
        <v>96</v>
      </c>
      <c r="C25" s="308"/>
      <c r="D25" s="291" t="s">
        <v>40</v>
      </c>
      <c r="E25" s="291" t="s">
        <v>240</v>
      </c>
      <c r="F25" s="291" t="s">
        <v>41</v>
      </c>
      <c r="G25" s="291" t="s">
        <v>42</v>
      </c>
      <c r="H25" s="553" t="s">
        <v>241</v>
      </c>
      <c r="I25" s="291" t="s">
        <v>43</v>
      </c>
      <c r="J25" s="553" t="s">
        <v>242</v>
      </c>
      <c r="K25" s="291" t="s">
        <v>45</v>
      </c>
      <c r="M25" s="6"/>
      <c r="N25" s="6"/>
      <c r="P25" s="6"/>
      <c r="Q25" s="6"/>
      <c r="R25" s="6"/>
      <c r="S25" s="6"/>
      <c r="T25" s="6"/>
    </row>
    <row r="26" spans="1:20">
      <c r="A26" s="6"/>
      <c r="B26" s="679" t="s">
        <v>243</v>
      </c>
      <c r="C26" s="680"/>
      <c r="D26" s="248">
        <v>1927134</v>
      </c>
      <c r="E26" s="248">
        <v>1986449.3883400003</v>
      </c>
      <c r="F26" s="248">
        <v>2480283</v>
      </c>
      <c r="G26" s="248">
        <v>2353468</v>
      </c>
      <c r="H26" s="248" t="s">
        <v>244</v>
      </c>
      <c r="I26" s="251">
        <v>2026835</v>
      </c>
      <c r="J26" s="248">
        <v>1998587</v>
      </c>
      <c r="K26" s="172">
        <v>2588014.7340000002</v>
      </c>
      <c r="M26" s="6"/>
      <c r="N26" s="6"/>
      <c r="P26" s="6"/>
      <c r="Q26" s="6"/>
      <c r="R26" s="6"/>
      <c r="S26" s="6"/>
      <c r="T26" s="6"/>
    </row>
    <row r="27" spans="1:20">
      <c r="A27" s="6"/>
      <c r="B27" s="679" t="s">
        <v>245</v>
      </c>
      <c r="C27" s="680"/>
      <c r="D27" s="248">
        <v>3044976</v>
      </c>
      <c r="E27" s="248">
        <v>3103585.9938456798</v>
      </c>
      <c r="F27" s="248">
        <v>3103586</v>
      </c>
      <c r="G27" s="248">
        <v>3248917</v>
      </c>
      <c r="H27" s="248" t="s">
        <v>246</v>
      </c>
      <c r="I27" s="251">
        <v>1761119</v>
      </c>
      <c r="J27" s="248">
        <v>1739666</v>
      </c>
      <c r="K27" s="248">
        <v>1739666</v>
      </c>
      <c r="M27" s="6"/>
      <c r="N27" s="6"/>
      <c r="P27" s="6"/>
      <c r="Q27" s="6"/>
      <c r="R27" s="6"/>
      <c r="S27" s="6"/>
      <c r="T27" s="6"/>
    </row>
    <row r="28" spans="1:20">
      <c r="A28" s="6"/>
      <c r="B28" s="679" t="s">
        <v>247</v>
      </c>
      <c r="C28" s="680"/>
      <c r="D28" s="248">
        <v>1206443.4193237538</v>
      </c>
      <c r="E28" s="248">
        <v>1243100.2931390207</v>
      </c>
      <c r="F28" s="248">
        <v>1454048</v>
      </c>
      <c r="G28" s="248">
        <v>1417610</v>
      </c>
      <c r="H28" s="248">
        <v>1400788</v>
      </c>
      <c r="I28" s="251">
        <v>1316689</v>
      </c>
      <c r="J28" s="248">
        <v>1312842</v>
      </c>
      <c r="K28" s="172">
        <v>1393019.798</v>
      </c>
      <c r="M28" s="110"/>
      <c r="N28" s="110"/>
      <c r="O28" s="6"/>
      <c r="P28" s="6"/>
      <c r="Q28" s="6"/>
      <c r="R28" s="6"/>
      <c r="S28" s="6"/>
      <c r="T28" s="6"/>
    </row>
    <row r="29" spans="1:20">
      <c r="A29" s="6"/>
      <c r="B29" s="679" t="s">
        <v>248</v>
      </c>
      <c r="C29" s="680"/>
      <c r="D29" s="239">
        <v>0</v>
      </c>
      <c r="E29" s="239">
        <v>0</v>
      </c>
      <c r="F29" s="239">
        <v>0</v>
      </c>
      <c r="G29" s="239">
        <v>0</v>
      </c>
      <c r="H29" s="239"/>
      <c r="I29" s="239">
        <v>0</v>
      </c>
      <c r="J29" s="239">
        <v>0</v>
      </c>
      <c r="K29" s="173">
        <v>4693.8425699999998</v>
      </c>
      <c r="P29" s="6"/>
      <c r="Q29" s="6"/>
      <c r="R29" s="6"/>
      <c r="S29" s="6"/>
      <c r="T29" s="6"/>
    </row>
    <row r="30" spans="1:20">
      <c r="A30" s="6"/>
      <c r="B30" s="679" t="s">
        <v>249</v>
      </c>
      <c r="C30" s="680"/>
      <c r="D30" s="249">
        <v>4276475.4552421877</v>
      </c>
      <c r="E30" s="249">
        <v>4379875.6101083104</v>
      </c>
      <c r="F30" s="249">
        <v>4470316</v>
      </c>
      <c r="G30" s="249">
        <v>3164184</v>
      </c>
      <c r="H30" s="249">
        <v>2987710</v>
      </c>
      <c r="I30" s="249">
        <v>2523580</v>
      </c>
      <c r="J30" s="249">
        <v>2632</v>
      </c>
      <c r="K30" s="173">
        <v>4140.2627190000003</v>
      </c>
      <c r="P30" s="6"/>
      <c r="Q30" s="6"/>
      <c r="R30" s="6"/>
      <c r="S30" s="6"/>
      <c r="T30" s="6"/>
    </row>
    <row r="31" spans="1:20" ht="16.5" thickBot="1">
      <c r="A31" s="6"/>
      <c r="B31" s="689" t="s">
        <v>250</v>
      </c>
      <c r="C31" s="690"/>
      <c r="D31" s="250">
        <f>'Planet Positive '!C237</f>
        <v>24592</v>
      </c>
      <c r="E31" s="250">
        <v>20851</v>
      </c>
      <c r="F31" s="250">
        <f>'Planet Positive '!C238</f>
        <v>20851</v>
      </c>
      <c r="G31" s="250">
        <v>18667</v>
      </c>
      <c r="H31" s="250">
        <v>8699</v>
      </c>
      <c r="I31" s="250">
        <v>8699</v>
      </c>
      <c r="J31" s="250">
        <v>10562</v>
      </c>
      <c r="K31" s="194">
        <v>10562</v>
      </c>
      <c r="P31" s="6"/>
      <c r="Q31" s="6"/>
      <c r="R31" s="6"/>
      <c r="S31" s="6"/>
      <c r="T31" s="6"/>
    </row>
    <row r="32" spans="1:20" ht="5.25" customHeight="1" thickBot="1">
      <c r="A32" s="6"/>
      <c r="B32" s="47"/>
      <c r="C32" s="47"/>
      <c r="D32" s="6"/>
      <c r="E32" s="6"/>
      <c r="F32" s="6"/>
      <c r="G32" s="6"/>
      <c r="H32" s="6"/>
      <c r="I32" s="6"/>
      <c r="L32" s="6"/>
      <c r="N32" s="6"/>
      <c r="O32" s="6"/>
      <c r="P32" s="6"/>
      <c r="Q32" s="6"/>
      <c r="R32" s="6"/>
    </row>
    <row r="33" spans="1:18" ht="57.75" thickBot="1">
      <c r="A33" s="6"/>
      <c r="B33" s="388" t="s">
        <v>91</v>
      </c>
      <c r="C33" s="388" t="s">
        <v>251</v>
      </c>
      <c r="D33" s="388" t="s">
        <v>243</v>
      </c>
      <c r="E33" s="388" t="s">
        <v>245</v>
      </c>
      <c r="F33" s="388" t="s">
        <v>247</v>
      </c>
      <c r="G33" s="388" t="s">
        <v>248</v>
      </c>
      <c r="H33" s="388" t="s">
        <v>252</v>
      </c>
      <c r="I33" s="388" t="s">
        <v>253</v>
      </c>
      <c r="M33" s="6"/>
      <c r="N33" s="6"/>
      <c r="O33" s="6"/>
      <c r="P33" s="6"/>
      <c r="Q33" s="6"/>
      <c r="R33" s="6"/>
    </row>
    <row r="34" spans="1:18">
      <c r="A34" s="6"/>
      <c r="B34" s="214" t="s">
        <v>40</v>
      </c>
      <c r="C34" s="214" t="s">
        <v>96</v>
      </c>
      <c r="D34" s="376">
        <v>1927134.3843332555</v>
      </c>
      <c r="E34" s="376">
        <v>3044976.4993583062</v>
      </c>
      <c r="F34" s="376">
        <v>1206443.4199637535</v>
      </c>
      <c r="G34" s="601"/>
      <c r="H34" s="376">
        <v>4276475.4552421877</v>
      </c>
      <c r="I34" s="376">
        <f>D31</f>
        <v>24592</v>
      </c>
      <c r="M34" s="6"/>
      <c r="N34" s="6"/>
      <c r="O34" s="6"/>
      <c r="P34" s="6"/>
      <c r="Q34" s="6"/>
      <c r="R34" s="6"/>
    </row>
    <row r="35" spans="1:18">
      <c r="A35" s="6"/>
      <c r="B35" s="254"/>
      <c r="C35" s="239" t="s">
        <v>254</v>
      </c>
      <c r="D35" s="377">
        <v>1798489.1135013378</v>
      </c>
      <c r="E35" s="88">
        <v>1762519.331231311</v>
      </c>
      <c r="F35" s="377">
        <v>1186324.4390845827</v>
      </c>
      <c r="G35" s="378"/>
      <c r="H35" s="377">
        <v>3057388.7325885249</v>
      </c>
      <c r="I35" s="377">
        <f>I34</f>
        <v>24592</v>
      </c>
      <c r="M35" s="6"/>
      <c r="N35" s="6"/>
      <c r="O35" s="6"/>
      <c r="P35" s="6"/>
      <c r="Q35" s="6"/>
      <c r="R35" s="6"/>
    </row>
    <row r="36" spans="1:18">
      <c r="A36" s="6"/>
      <c r="B36" s="254"/>
      <c r="C36" s="239" t="s">
        <v>101</v>
      </c>
      <c r="D36" s="377">
        <v>128645.27083191786</v>
      </c>
      <c r="E36" s="88">
        <v>126072.36541527951</v>
      </c>
      <c r="F36" s="377">
        <v>20118.980879170867</v>
      </c>
      <c r="G36" s="378"/>
      <c r="H36" s="377">
        <v>1219086.7226536628</v>
      </c>
      <c r="I36" s="378"/>
      <c r="M36" s="6"/>
      <c r="N36" s="6"/>
      <c r="O36" s="6"/>
      <c r="P36" s="6"/>
      <c r="Q36" s="6"/>
      <c r="R36" s="6"/>
    </row>
    <row r="37" spans="1:18" ht="57.75" thickBot="1">
      <c r="A37" s="6"/>
      <c r="B37" s="254"/>
      <c r="C37" s="239" t="s">
        <v>255</v>
      </c>
      <c r="D37" s="377">
        <v>93842.876518396253</v>
      </c>
      <c r="E37" s="88" t="s">
        <v>256</v>
      </c>
      <c r="F37" s="88" t="s">
        <v>256</v>
      </c>
      <c r="G37" s="88" t="s">
        <v>256</v>
      </c>
      <c r="H37" s="88" t="s">
        <v>256</v>
      </c>
      <c r="I37" s="88" t="s">
        <v>256</v>
      </c>
      <c r="M37" s="6"/>
      <c r="N37" s="6"/>
      <c r="O37" s="6"/>
      <c r="P37" s="6"/>
      <c r="Q37" s="6"/>
      <c r="R37" s="6"/>
    </row>
    <row r="38" spans="1:18">
      <c r="A38" s="6"/>
      <c r="B38" s="214" t="s">
        <v>240</v>
      </c>
      <c r="C38" s="214" t="s">
        <v>96</v>
      </c>
      <c r="D38" s="531">
        <v>1986449.3883400003</v>
      </c>
      <c r="E38" s="531">
        <v>3166924.4835159997</v>
      </c>
      <c r="F38" s="531">
        <v>1243100.9094590205</v>
      </c>
      <c r="G38" s="532"/>
      <c r="H38" s="531">
        <v>4379874.5508083105</v>
      </c>
      <c r="I38" s="376">
        <v>20851</v>
      </c>
      <c r="M38" s="6"/>
      <c r="N38" s="6"/>
      <c r="O38" s="6"/>
      <c r="P38" s="6"/>
      <c r="Q38" s="6"/>
      <c r="R38" s="6"/>
    </row>
    <row r="39" spans="1:18">
      <c r="A39" s="6"/>
      <c r="B39" s="254"/>
      <c r="C39" s="239" t="s">
        <v>254</v>
      </c>
      <c r="D39" s="377">
        <v>1858936.5448159999</v>
      </c>
      <c r="E39" s="88">
        <v>3103585.9938456798</v>
      </c>
      <c r="F39" s="377">
        <v>1222662.4983599999</v>
      </c>
      <c r="G39" s="378"/>
      <c r="H39" s="377">
        <v>3128159.9998569991</v>
      </c>
      <c r="I39" s="377">
        <f>I38</f>
        <v>20851</v>
      </c>
      <c r="M39" s="6"/>
      <c r="N39" s="6"/>
      <c r="O39" s="6"/>
      <c r="P39" s="6"/>
      <c r="Q39" s="6"/>
      <c r="R39" s="6"/>
    </row>
    <row r="40" spans="1:18">
      <c r="A40" s="6"/>
      <c r="B40" s="254"/>
      <c r="C40" s="239" t="s">
        <v>101</v>
      </c>
      <c r="D40" s="377">
        <v>127512.84352400045</v>
      </c>
      <c r="E40" s="88">
        <v>0</v>
      </c>
      <c r="F40" s="377">
        <v>20438.411099020734</v>
      </c>
      <c r="G40" s="378"/>
      <c r="H40" s="377">
        <v>1251714.5509513118</v>
      </c>
      <c r="I40" s="378"/>
      <c r="M40" s="6"/>
      <c r="N40" s="6"/>
      <c r="O40" s="6"/>
      <c r="P40" s="6"/>
      <c r="Q40" s="6"/>
      <c r="R40" s="6"/>
    </row>
    <row r="41" spans="1:18" ht="57.75" thickBot="1">
      <c r="A41" s="6"/>
      <c r="B41" s="254"/>
      <c r="C41" s="239" t="s">
        <v>255</v>
      </c>
      <c r="D41" s="377">
        <v>105962</v>
      </c>
      <c r="E41" s="88" t="s">
        <v>256</v>
      </c>
      <c r="F41" s="88" t="s">
        <v>256</v>
      </c>
      <c r="G41" s="88" t="s">
        <v>256</v>
      </c>
      <c r="H41" s="88" t="s">
        <v>256</v>
      </c>
      <c r="I41" s="88"/>
      <c r="M41" s="6"/>
      <c r="N41" s="6"/>
      <c r="O41" s="6"/>
      <c r="P41" s="6"/>
      <c r="Q41" s="6"/>
      <c r="R41" s="6"/>
    </row>
    <row r="42" spans="1:18">
      <c r="A42" s="6"/>
      <c r="B42" s="214" t="s">
        <v>41</v>
      </c>
      <c r="C42" s="214" t="s">
        <v>96</v>
      </c>
      <c r="D42" s="531">
        <v>2480283</v>
      </c>
      <c r="E42" s="531">
        <v>3103586</v>
      </c>
      <c r="F42" s="531">
        <v>1454048</v>
      </c>
      <c r="G42" s="532">
        <v>0</v>
      </c>
      <c r="H42" s="531">
        <v>4470316</v>
      </c>
      <c r="I42" s="376">
        <v>20851</v>
      </c>
      <c r="M42" s="6"/>
      <c r="N42" s="6"/>
      <c r="O42" s="6"/>
      <c r="P42" s="6"/>
      <c r="Q42" s="6"/>
      <c r="R42" s="6"/>
    </row>
    <row r="43" spans="1:18">
      <c r="A43" s="6"/>
      <c r="B43" s="254"/>
      <c r="C43" s="239" t="s">
        <v>254</v>
      </c>
      <c r="D43" s="377">
        <v>2344414.3335465002</v>
      </c>
      <c r="E43" s="88">
        <v>2297526.0468755686</v>
      </c>
      <c r="F43" s="377">
        <v>1432179.2768331179</v>
      </c>
      <c r="G43" s="378">
        <v>0</v>
      </c>
      <c r="H43" s="377">
        <v>3128630.4319321597</v>
      </c>
      <c r="I43" s="377">
        <f>I42</f>
        <v>20851</v>
      </c>
      <c r="M43" s="6"/>
      <c r="N43" s="6"/>
      <c r="O43" s="6"/>
      <c r="P43" s="6"/>
      <c r="Q43" s="6"/>
      <c r="R43" s="6"/>
    </row>
    <row r="44" spans="1:18">
      <c r="A44" s="6"/>
      <c r="B44" s="254"/>
      <c r="C44" s="239" t="s">
        <v>101</v>
      </c>
      <c r="D44" s="377">
        <v>135868.83920440901</v>
      </c>
      <c r="E44" s="88">
        <v>133151.46242032052</v>
      </c>
      <c r="F44" s="377">
        <v>21869.082950661388</v>
      </c>
      <c r="G44" s="378">
        <v>0</v>
      </c>
      <c r="H44" s="377">
        <v>1341685.3094830802</v>
      </c>
      <c r="I44" s="378"/>
      <c r="M44" s="6"/>
      <c r="N44" s="6"/>
      <c r="O44" s="6"/>
      <c r="P44" s="6"/>
      <c r="Q44" s="6"/>
      <c r="R44" s="6"/>
    </row>
    <row r="45" spans="1:18" ht="57.75" thickBot="1">
      <c r="A45" s="6"/>
      <c r="B45" s="254"/>
      <c r="C45" s="239" t="s">
        <v>255</v>
      </c>
      <c r="D45" s="377">
        <v>105962</v>
      </c>
      <c r="E45" s="88" t="s">
        <v>256</v>
      </c>
      <c r="F45" s="88" t="s">
        <v>256</v>
      </c>
      <c r="G45" s="88" t="s">
        <v>256</v>
      </c>
      <c r="H45" s="88" t="s">
        <v>256</v>
      </c>
      <c r="I45" s="88"/>
      <c r="M45" s="6"/>
      <c r="N45" s="6"/>
      <c r="O45" s="6"/>
      <c r="P45" s="6"/>
      <c r="Q45" s="6"/>
      <c r="R45" s="6"/>
    </row>
    <row r="46" spans="1:18">
      <c r="A46" s="6"/>
      <c r="B46" s="214" t="s">
        <v>42</v>
      </c>
      <c r="C46" s="214" t="s">
        <v>96</v>
      </c>
      <c r="D46" s="376">
        <f>G26</f>
        <v>2353468</v>
      </c>
      <c r="E46" s="376">
        <v>3248917</v>
      </c>
      <c r="F46" s="376">
        <v>1417610</v>
      </c>
      <c r="G46" s="253" t="s">
        <v>257</v>
      </c>
      <c r="H46" s="376">
        <v>3164184</v>
      </c>
      <c r="I46" s="531">
        <f>G31</f>
        <v>18667</v>
      </c>
      <c r="M46" s="6"/>
      <c r="N46" s="6"/>
      <c r="O46" s="6"/>
      <c r="P46" s="6"/>
      <c r="Q46" s="6"/>
      <c r="R46" s="6"/>
    </row>
    <row r="47" spans="1:18">
      <c r="A47" s="6"/>
      <c r="B47" s="254"/>
      <c r="C47" s="239" t="s">
        <v>254</v>
      </c>
      <c r="D47" s="377">
        <v>2316571</v>
      </c>
      <c r="E47" s="377">
        <v>3248917</v>
      </c>
      <c r="F47" s="377">
        <v>1409059</v>
      </c>
      <c r="G47" s="256" t="s">
        <v>256</v>
      </c>
      <c r="H47" s="377">
        <v>2571772</v>
      </c>
      <c r="I47" s="377">
        <f>'Planet Positive '!C239</f>
        <v>18667</v>
      </c>
      <c r="M47" s="6"/>
      <c r="N47" s="6"/>
      <c r="O47" s="6"/>
      <c r="P47" s="6"/>
      <c r="Q47" s="6"/>
      <c r="R47" s="6"/>
    </row>
    <row r="48" spans="1:18">
      <c r="A48" s="6"/>
      <c r="B48" s="254"/>
      <c r="C48" s="239" t="s">
        <v>101</v>
      </c>
      <c r="D48" s="377">
        <v>36898</v>
      </c>
      <c r="E48" s="378" t="s">
        <v>256</v>
      </c>
      <c r="F48" s="377">
        <v>8551</v>
      </c>
      <c r="G48" s="256" t="s">
        <v>256</v>
      </c>
      <c r="H48" s="377">
        <v>592412</v>
      </c>
      <c r="I48" s="378" t="s">
        <v>256</v>
      </c>
      <c r="M48" s="6"/>
      <c r="N48" s="6"/>
      <c r="O48" s="6"/>
      <c r="P48" s="6"/>
      <c r="Q48" s="6"/>
      <c r="R48" s="6"/>
    </row>
    <row r="49" spans="1:18" ht="57.75" thickBot="1">
      <c r="A49" s="6"/>
      <c r="B49" s="254"/>
      <c r="C49" s="239" t="s">
        <v>255</v>
      </c>
      <c r="D49" s="377">
        <v>112419</v>
      </c>
      <c r="E49" s="88" t="s">
        <v>256</v>
      </c>
      <c r="F49" s="88" t="s">
        <v>256</v>
      </c>
      <c r="G49" s="88" t="s">
        <v>256</v>
      </c>
      <c r="H49" s="88" t="s">
        <v>256</v>
      </c>
      <c r="I49" s="533" t="s">
        <v>256</v>
      </c>
      <c r="M49" s="6"/>
      <c r="N49" s="6"/>
      <c r="O49" s="6"/>
      <c r="P49" s="6"/>
      <c r="Q49" s="6"/>
      <c r="R49" s="6"/>
    </row>
    <row r="50" spans="1:18" ht="28.5">
      <c r="A50" s="6"/>
      <c r="B50" s="554" t="s">
        <v>241</v>
      </c>
      <c r="C50" s="214" t="s">
        <v>96</v>
      </c>
      <c r="D50" s="252" t="s">
        <v>244</v>
      </c>
      <c r="E50" s="252" t="s">
        <v>246</v>
      </c>
      <c r="F50" s="252">
        <v>1400788</v>
      </c>
      <c r="G50" s="253" t="s">
        <v>257</v>
      </c>
      <c r="H50" s="252">
        <v>2987710</v>
      </c>
      <c r="I50" s="252">
        <v>8699</v>
      </c>
      <c r="M50" s="6"/>
      <c r="N50" s="6"/>
      <c r="O50" s="6"/>
      <c r="P50" s="6"/>
      <c r="Q50" s="6"/>
      <c r="R50" s="6"/>
    </row>
    <row r="51" spans="1:18">
      <c r="A51" s="6"/>
      <c r="B51" s="254"/>
      <c r="C51" s="239" t="s">
        <v>254</v>
      </c>
      <c r="D51" s="255">
        <v>2280247.223336664</v>
      </c>
      <c r="E51" s="255" t="s">
        <v>246</v>
      </c>
      <c r="F51" s="255">
        <v>1393505.0126738795</v>
      </c>
      <c r="G51" s="256" t="s">
        <v>256</v>
      </c>
      <c r="H51" s="255">
        <v>2467557.1342314095</v>
      </c>
      <c r="I51" s="255">
        <v>8699</v>
      </c>
      <c r="M51" s="6"/>
      <c r="N51" s="6"/>
      <c r="O51" s="6"/>
      <c r="P51" s="6"/>
      <c r="Q51" s="6"/>
      <c r="R51" s="6"/>
    </row>
    <row r="52" spans="1:18">
      <c r="A52" s="6"/>
      <c r="B52" s="254"/>
      <c r="C52" s="239" t="s">
        <v>101</v>
      </c>
      <c r="D52" s="255">
        <v>27700.39160503351</v>
      </c>
      <c r="E52" s="256" t="s">
        <v>257</v>
      </c>
      <c r="F52" s="255">
        <v>7282.9829122205938</v>
      </c>
      <c r="G52" s="256" t="s">
        <v>256</v>
      </c>
      <c r="H52" s="255">
        <v>520153.07520329725</v>
      </c>
      <c r="I52" s="256"/>
      <c r="M52" s="6"/>
      <c r="N52" s="6"/>
      <c r="O52" s="6"/>
      <c r="P52" s="6"/>
      <c r="Q52" s="6"/>
      <c r="R52" s="6"/>
    </row>
    <row r="53" spans="1:18" ht="57.75" thickBot="1">
      <c r="A53" s="6"/>
      <c r="B53" s="254"/>
      <c r="C53" s="239" t="s">
        <v>255</v>
      </c>
      <c r="D53" s="255">
        <v>86196.214523113304</v>
      </c>
      <c r="E53" s="88">
        <v>0</v>
      </c>
      <c r="F53" s="88">
        <v>0</v>
      </c>
      <c r="G53" s="88" t="s">
        <v>256</v>
      </c>
      <c r="H53" s="88">
        <v>0</v>
      </c>
      <c r="I53" s="88">
        <v>0</v>
      </c>
      <c r="J53" s="200"/>
      <c r="M53" s="6"/>
      <c r="N53" s="6"/>
      <c r="O53" s="6"/>
      <c r="P53" s="6"/>
      <c r="Q53" s="6"/>
      <c r="R53" s="6"/>
    </row>
    <row r="54" spans="1:18">
      <c r="A54" s="6"/>
      <c r="B54" s="214" t="s">
        <v>43</v>
      </c>
      <c r="C54" s="214" t="s">
        <v>96</v>
      </c>
      <c r="D54" s="252">
        <v>2026834.848</v>
      </c>
      <c r="E54" s="252">
        <v>1761119</v>
      </c>
      <c r="F54" s="252">
        <v>1316689</v>
      </c>
      <c r="G54" s="253" t="s">
        <v>257</v>
      </c>
      <c r="H54" s="252">
        <v>2523580</v>
      </c>
      <c r="I54" s="252">
        <v>8699</v>
      </c>
      <c r="M54" s="6"/>
      <c r="N54" s="6"/>
      <c r="O54" s="6"/>
      <c r="P54" s="6"/>
      <c r="Q54" s="6"/>
      <c r="R54" s="6"/>
    </row>
    <row r="55" spans="1:18">
      <c r="A55" s="6"/>
      <c r="B55" s="254"/>
      <c r="C55" s="239" t="s">
        <v>254</v>
      </c>
      <c r="D55" s="255">
        <v>2010065.08</v>
      </c>
      <c r="E55" s="255">
        <v>1761119</v>
      </c>
      <c r="F55" s="255">
        <v>1293432</v>
      </c>
      <c r="G55" s="256" t="s">
        <v>256</v>
      </c>
      <c r="H55" s="255">
        <v>2399410</v>
      </c>
      <c r="I55" s="255">
        <v>8699</v>
      </c>
      <c r="M55" s="6"/>
      <c r="N55" s="6"/>
      <c r="O55" s="6"/>
      <c r="P55" s="6"/>
      <c r="Q55" s="6"/>
      <c r="R55" s="6"/>
    </row>
    <row r="56" spans="1:18">
      <c r="A56" s="6"/>
      <c r="B56" s="254"/>
      <c r="C56" s="239" t="s">
        <v>101</v>
      </c>
      <c r="D56" s="255">
        <v>16769.768</v>
      </c>
      <c r="E56" s="256" t="s">
        <v>257</v>
      </c>
      <c r="F56" s="255">
        <v>23257</v>
      </c>
      <c r="G56" s="256" t="s">
        <v>256</v>
      </c>
      <c r="H56" s="255">
        <v>124169</v>
      </c>
      <c r="I56" s="256"/>
      <c r="M56" s="6"/>
      <c r="N56" s="6"/>
      <c r="O56" s="6"/>
      <c r="P56" s="6"/>
      <c r="Q56" s="6"/>
      <c r="R56" s="6"/>
    </row>
    <row r="57" spans="1:18" ht="57.75" thickBot="1">
      <c r="A57" s="6"/>
      <c r="B57" s="254"/>
      <c r="C57" s="239" t="s">
        <v>255</v>
      </c>
      <c r="D57" s="255">
        <v>86196.214523113304</v>
      </c>
      <c r="E57" s="88">
        <v>0</v>
      </c>
      <c r="F57" s="88">
        <v>0</v>
      </c>
      <c r="G57" s="88" t="s">
        <v>256</v>
      </c>
      <c r="H57" s="88">
        <v>0</v>
      </c>
      <c r="I57" s="88">
        <v>0</v>
      </c>
      <c r="J57" s="200"/>
      <c r="M57" s="6"/>
      <c r="N57" s="6"/>
      <c r="O57" s="6"/>
      <c r="P57" s="6"/>
      <c r="Q57" s="6"/>
      <c r="R57" s="6"/>
    </row>
    <row r="58" spans="1:18">
      <c r="A58" s="6"/>
      <c r="B58" s="90" t="s">
        <v>44</v>
      </c>
      <c r="C58" s="90" t="s">
        <v>96</v>
      </c>
      <c r="D58" s="257">
        <v>1998587</v>
      </c>
      <c r="E58" s="257">
        <v>1739666</v>
      </c>
      <c r="F58" s="257">
        <v>1312842</v>
      </c>
      <c r="G58" s="91">
        <f>SUM(G59:G61)</f>
        <v>0</v>
      </c>
      <c r="H58" s="257">
        <v>2632</v>
      </c>
      <c r="I58" s="91">
        <f>SUM(I59:I61)</f>
        <v>10562</v>
      </c>
      <c r="K58" s="6"/>
      <c r="L58" s="6"/>
      <c r="M58" s="6"/>
      <c r="N58" s="6"/>
      <c r="O58" s="6"/>
      <c r="P58" s="6"/>
      <c r="Q58" s="6"/>
      <c r="R58" s="6"/>
    </row>
    <row r="59" spans="1:18">
      <c r="A59" s="6"/>
      <c r="B59" s="87"/>
      <c r="C59" s="239" t="s">
        <v>254</v>
      </c>
      <c r="D59" s="88">
        <v>2045968.3639511203</v>
      </c>
      <c r="E59" s="88">
        <v>1739303.8011431424</v>
      </c>
      <c r="F59" s="88">
        <v>1312842</v>
      </c>
      <c r="G59" s="88">
        <v>0</v>
      </c>
      <c r="H59" s="88">
        <v>2632</v>
      </c>
      <c r="I59" s="88">
        <f>'Planet Positive '!C241</f>
        <v>10562</v>
      </c>
      <c r="K59" s="6"/>
      <c r="L59" s="6"/>
      <c r="M59" s="6"/>
      <c r="N59" s="6"/>
      <c r="O59" s="6"/>
      <c r="P59" s="6"/>
      <c r="Q59" s="6"/>
      <c r="R59" s="6"/>
    </row>
    <row r="60" spans="1:18">
      <c r="A60" s="6"/>
      <c r="B60" s="87"/>
      <c r="C60" s="72" t="s">
        <v>101</v>
      </c>
      <c r="D60" s="88">
        <v>0</v>
      </c>
      <c r="E60" s="88">
        <v>0</v>
      </c>
      <c r="F60" s="88">
        <v>0</v>
      </c>
      <c r="G60" s="88">
        <v>0</v>
      </c>
      <c r="H60" s="88">
        <v>0</v>
      </c>
      <c r="I60" s="88"/>
      <c r="K60" s="6"/>
      <c r="N60" s="6"/>
      <c r="O60" s="6"/>
      <c r="P60" s="6"/>
      <c r="Q60" s="6"/>
      <c r="R60" s="6"/>
    </row>
    <row r="61" spans="1:18" ht="57.75" thickBot="1">
      <c r="A61" s="6"/>
      <c r="B61" s="87"/>
      <c r="C61" s="72" t="s">
        <v>255</v>
      </c>
      <c r="D61" s="88">
        <v>81455.941985982106</v>
      </c>
      <c r="E61" s="88">
        <v>0</v>
      </c>
      <c r="F61" s="88">
        <v>0</v>
      </c>
      <c r="G61" s="88">
        <v>0</v>
      </c>
      <c r="H61" s="88">
        <v>0</v>
      </c>
      <c r="I61" s="88"/>
      <c r="K61" s="6"/>
      <c r="N61" s="6"/>
      <c r="O61" s="6"/>
      <c r="P61" s="6"/>
      <c r="Q61" s="6"/>
      <c r="R61" s="6"/>
    </row>
    <row r="62" spans="1:18">
      <c r="A62" s="6"/>
      <c r="B62" s="90" t="s">
        <v>45</v>
      </c>
      <c r="C62" s="90" t="s">
        <v>96</v>
      </c>
      <c r="D62" s="91">
        <f>SUM(D63:D65)</f>
        <v>2669470.6755720144</v>
      </c>
      <c r="E62" s="257">
        <v>1739666</v>
      </c>
      <c r="F62" s="257">
        <v>1393019.798</v>
      </c>
      <c r="G62" s="91">
        <f>SUM(G63:G65)</f>
        <v>0</v>
      </c>
      <c r="H62" s="91">
        <f>SUM(H63:H65)</f>
        <v>4140262.7187077785</v>
      </c>
      <c r="I62" s="91">
        <f>SUM(I63:I65)</f>
        <v>10562</v>
      </c>
      <c r="K62" s="6"/>
      <c r="L62" s="6"/>
      <c r="M62" s="6"/>
      <c r="N62" s="6"/>
      <c r="O62" s="6"/>
      <c r="P62" s="6"/>
      <c r="Q62" s="6"/>
      <c r="R62" s="6"/>
    </row>
    <row r="63" spans="1:18">
      <c r="A63" s="6"/>
      <c r="B63" s="87"/>
      <c r="C63" s="239" t="s">
        <v>254</v>
      </c>
      <c r="D63" s="88">
        <v>2045968.3639511203</v>
      </c>
      <c r="E63" s="88">
        <v>1739303.8011431424</v>
      </c>
      <c r="F63" s="88">
        <v>1312842</v>
      </c>
      <c r="G63" s="88">
        <v>0</v>
      </c>
      <c r="H63" s="88">
        <v>2594951.2301522796</v>
      </c>
      <c r="I63" s="88">
        <f>'Planet Positive '!C242</f>
        <v>10562</v>
      </c>
      <c r="K63" s="6"/>
      <c r="L63" s="6"/>
      <c r="M63" s="6"/>
      <c r="N63" s="6"/>
      <c r="O63" s="6"/>
      <c r="P63" s="6"/>
      <c r="Q63" s="6"/>
      <c r="R63" s="6"/>
    </row>
    <row r="64" spans="1:18">
      <c r="A64" s="6"/>
      <c r="B64" s="87"/>
      <c r="C64" s="72" t="s">
        <v>101</v>
      </c>
      <c r="D64" s="88">
        <v>542046.369634912</v>
      </c>
      <c r="E64" s="88">
        <v>10430.51397399177</v>
      </c>
      <c r="F64" s="88"/>
      <c r="G64" s="88">
        <v>0</v>
      </c>
      <c r="H64" s="88">
        <v>1545311.4885554989</v>
      </c>
      <c r="I64" s="88"/>
      <c r="K64" s="6"/>
      <c r="N64" s="6"/>
      <c r="O64" s="6"/>
      <c r="P64" s="6"/>
      <c r="Q64" s="6"/>
      <c r="R64" s="6"/>
    </row>
    <row r="65" spans="1:21" ht="57.75" thickBot="1">
      <c r="A65" s="6"/>
      <c r="B65" s="450"/>
      <c r="C65" s="103" t="s">
        <v>255</v>
      </c>
      <c r="D65" s="89">
        <v>81455.941985982106</v>
      </c>
      <c r="E65" s="89">
        <v>0</v>
      </c>
      <c r="F65" s="89">
        <v>0</v>
      </c>
      <c r="G65" s="89">
        <v>0</v>
      </c>
      <c r="H65" s="89">
        <v>0</v>
      </c>
      <c r="I65" s="89">
        <v>0</v>
      </c>
      <c r="K65" s="565" t="s">
        <v>60</v>
      </c>
      <c r="N65" s="6"/>
      <c r="O65" s="6"/>
      <c r="P65" s="6"/>
      <c r="Q65" s="6"/>
      <c r="R65" s="6"/>
    </row>
    <row r="66" spans="1:21" ht="5.25" customHeight="1">
      <c r="A66" s="6"/>
      <c r="B66" s="40"/>
      <c r="C66" s="45"/>
      <c r="D66" s="46"/>
      <c r="E66" s="40"/>
      <c r="F66" s="45"/>
      <c r="G66" s="34"/>
      <c r="H66" s="34"/>
      <c r="I66" s="34"/>
      <c r="J66" s="6"/>
      <c r="M66" s="6"/>
      <c r="N66" s="6"/>
      <c r="O66" s="6"/>
      <c r="P66" s="6"/>
      <c r="Q66" s="6"/>
      <c r="R66" s="6"/>
    </row>
    <row r="67" spans="1:21" s="270" customFormat="1" ht="20.25">
      <c r="B67" s="287" t="s">
        <v>215</v>
      </c>
      <c r="C67" s="285"/>
      <c r="D67" s="288"/>
      <c r="E67" s="288"/>
      <c r="F67" s="288"/>
      <c r="G67" s="288"/>
      <c r="H67" s="288"/>
      <c r="I67" s="288"/>
    </row>
    <row r="68" spans="1:21" ht="18" thickBot="1">
      <c r="A68" s="85" t="s">
        <v>217</v>
      </c>
      <c r="C68" s="490"/>
      <c r="D68" s="7"/>
      <c r="E68" s="7"/>
      <c r="F68" s="7"/>
      <c r="G68" s="7"/>
      <c r="H68" s="7"/>
      <c r="I68" s="7"/>
      <c r="J68" s="7"/>
      <c r="K68" s="7"/>
    </row>
    <row r="69" spans="1:21" ht="17.25">
      <c r="A69" s="6"/>
      <c r="B69" s="292" t="s">
        <v>96</v>
      </c>
      <c r="C69" s="383" t="s">
        <v>455</v>
      </c>
      <c r="D69" s="561" t="s">
        <v>444</v>
      </c>
      <c r="E69" s="388" t="s">
        <v>42</v>
      </c>
      <c r="F69" s="560" t="s">
        <v>443</v>
      </c>
      <c r="G69" s="388" t="s">
        <v>44</v>
      </c>
      <c r="H69" s="388" t="s">
        <v>45</v>
      </c>
      <c r="I69" s="7"/>
      <c r="K69" s="6"/>
      <c r="L69" s="6"/>
      <c r="M69" s="6"/>
      <c r="N69" s="34"/>
      <c r="Q69" s="6"/>
      <c r="R69" s="6"/>
      <c r="S69" s="6"/>
      <c r="T69" s="6"/>
      <c r="U69" s="6"/>
    </row>
    <row r="70" spans="1:21" ht="17.25">
      <c r="A70" s="6"/>
      <c r="B70" s="95" t="s">
        <v>258</v>
      </c>
      <c r="C70" s="174">
        <v>8194</v>
      </c>
      <c r="D70" s="478">
        <v>11501</v>
      </c>
      <c r="E70" s="240">
        <v>5023</v>
      </c>
      <c r="F70" s="240">
        <v>2547</v>
      </c>
      <c r="G70" s="174">
        <v>3288</v>
      </c>
      <c r="H70" s="175" t="s">
        <v>76</v>
      </c>
      <c r="I70" s="7"/>
      <c r="K70" s="6"/>
      <c r="L70" s="6"/>
      <c r="M70" s="6"/>
      <c r="N70" s="34"/>
      <c r="Q70" s="6"/>
      <c r="R70" s="6"/>
      <c r="S70" s="6"/>
      <c r="T70" s="6"/>
      <c r="U70" s="6"/>
    </row>
    <row r="71" spans="1:21" ht="29.25" thickBot="1">
      <c r="A71" s="6"/>
      <c r="B71" s="96" t="s">
        <v>259</v>
      </c>
      <c r="C71" s="176">
        <v>4919</v>
      </c>
      <c r="D71" s="488">
        <v>7447</v>
      </c>
      <c r="E71" s="489">
        <v>2526</v>
      </c>
      <c r="F71" s="489">
        <v>1844</v>
      </c>
      <c r="G71" s="176">
        <v>2305</v>
      </c>
      <c r="H71" s="177" t="s">
        <v>76</v>
      </c>
      <c r="I71" s="7"/>
      <c r="K71" s="565" t="s">
        <v>60</v>
      </c>
      <c r="L71" s="6"/>
      <c r="M71" s="6"/>
      <c r="N71" s="34"/>
      <c r="Q71" s="6"/>
      <c r="R71" s="6"/>
      <c r="S71" s="6"/>
      <c r="T71" s="6"/>
      <c r="U71" s="6"/>
    </row>
    <row r="72" spans="1:21" ht="5.25" customHeight="1">
      <c r="A72" s="6"/>
      <c r="B72" s="40"/>
      <c r="C72" s="45"/>
      <c r="D72" s="40"/>
      <c r="E72" s="45"/>
      <c r="F72" s="45"/>
      <c r="G72" s="45"/>
      <c r="H72" s="40"/>
      <c r="I72" s="45"/>
      <c r="J72" s="6"/>
      <c r="K72" s="6"/>
      <c r="L72" s="6"/>
      <c r="M72" s="6"/>
      <c r="N72" s="6"/>
      <c r="O72" s="6"/>
      <c r="P72" s="6"/>
      <c r="Q72" s="6"/>
      <c r="R72" s="6"/>
    </row>
    <row r="73" spans="1:21" s="270" customFormat="1" ht="20.25">
      <c r="B73" s="340" t="s">
        <v>219</v>
      </c>
      <c r="C73" s="285"/>
      <c r="D73" s="288"/>
      <c r="E73" s="288"/>
      <c r="F73" s="288"/>
      <c r="G73" s="288"/>
      <c r="H73" s="288"/>
      <c r="I73" s="288"/>
    </row>
    <row r="74" spans="1:21" ht="18" thickBot="1">
      <c r="A74" s="85" t="s">
        <v>221</v>
      </c>
      <c r="C74" s="490"/>
      <c r="D74" s="7"/>
      <c r="E74" s="7"/>
      <c r="F74" s="7"/>
      <c r="G74" s="7"/>
      <c r="H74" s="7"/>
      <c r="I74" s="7"/>
      <c r="J74" s="691"/>
      <c r="K74" s="691"/>
      <c r="L74" s="691"/>
      <c r="M74" s="691"/>
      <c r="N74" s="691"/>
    </row>
    <row r="75" spans="1:21" ht="17.25">
      <c r="A75" s="6"/>
      <c r="B75" s="388" t="s">
        <v>50</v>
      </c>
      <c r="C75" s="294" t="s">
        <v>40</v>
      </c>
      <c r="D75" s="294" t="s">
        <v>41</v>
      </c>
      <c r="E75" s="294" t="s">
        <v>42</v>
      </c>
      <c r="F75" s="294" t="s">
        <v>43</v>
      </c>
      <c r="G75" s="388" t="s">
        <v>44</v>
      </c>
      <c r="H75" s="388" t="s">
        <v>45</v>
      </c>
      <c r="I75" s="7"/>
      <c r="J75" s="691"/>
      <c r="K75" s="691"/>
      <c r="L75" s="691"/>
      <c r="M75" s="691"/>
      <c r="N75" s="691"/>
      <c r="O75" s="6"/>
      <c r="P75" s="6"/>
      <c r="Q75" s="6"/>
      <c r="R75" s="6"/>
      <c r="S75" s="6"/>
      <c r="T75" s="6"/>
    </row>
    <row r="76" spans="1:21" ht="17.25">
      <c r="A76" s="6"/>
      <c r="B76" s="86" t="s">
        <v>96</v>
      </c>
      <c r="C76" s="201">
        <v>12827</v>
      </c>
      <c r="D76" s="201">
        <v>12337</v>
      </c>
      <c r="E76" s="201">
        <v>12118</v>
      </c>
      <c r="F76" s="201">
        <v>12065</v>
      </c>
      <c r="G76" s="125">
        <v>11744</v>
      </c>
      <c r="H76" s="125">
        <v>12841</v>
      </c>
      <c r="I76" s="7"/>
      <c r="J76" s="691"/>
      <c r="K76" s="691"/>
      <c r="L76" s="691"/>
      <c r="M76" s="691"/>
      <c r="N76" s="691"/>
      <c r="P76" s="6"/>
      <c r="Q76" s="6"/>
      <c r="R76" s="6"/>
      <c r="S76" s="6"/>
      <c r="T76" s="6"/>
    </row>
    <row r="77" spans="1:21" ht="17.25">
      <c r="A77" s="6"/>
      <c r="B77" s="72" t="s">
        <v>260</v>
      </c>
      <c r="C77" s="202">
        <v>4606</v>
      </c>
      <c r="D77" s="202">
        <v>4587</v>
      </c>
      <c r="E77" s="202">
        <v>4451</v>
      </c>
      <c r="F77" s="202">
        <v>4543</v>
      </c>
      <c r="G77" s="126">
        <v>4151</v>
      </c>
      <c r="H77" s="126">
        <v>4151</v>
      </c>
      <c r="I77" s="7"/>
      <c r="J77" s="691"/>
      <c r="K77" s="691"/>
      <c r="L77" s="691"/>
      <c r="M77" s="691"/>
      <c r="N77" s="691"/>
      <c r="P77" s="6"/>
      <c r="Q77" s="6"/>
      <c r="R77" s="6"/>
      <c r="S77" s="6"/>
      <c r="T77" s="6"/>
    </row>
    <row r="78" spans="1:21" ht="17.25">
      <c r="A78" s="6"/>
      <c r="B78" s="72" t="s">
        <v>261</v>
      </c>
      <c r="C78" s="202">
        <v>5587</v>
      </c>
      <c r="D78" s="202">
        <v>5441</v>
      </c>
      <c r="E78" s="202">
        <v>5412</v>
      </c>
      <c r="F78" s="202">
        <v>5355</v>
      </c>
      <c r="G78" s="126">
        <v>5387</v>
      </c>
      <c r="H78" s="126">
        <v>5387</v>
      </c>
      <c r="I78" s="7"/>
      <c r="J78" s="691"/>
      <c r="K78" s="604"/>
      <c r="L78" s="604"/>
      <c r="M78" s="604"/>
      <c r="N78" s="604"/>
      <c r="P78" s="6"/>
      <c r="Q78" s="6"/>
      <c r="R78" s="6"/>
      <c r="S78" s="6"/>
      <c r="T78" s="6"/>
    </row>
    <row r="79" spans="1:21" ht="17.25">
      <c r="A79" s="6"/>
      <c r="B79" s="72" t="s">
        <v>262</v>
      </c>
      <c r="C79" s="202">
        <v>1628</v>
      </c>
      <c r="D79" s="202">
        <v>1617</v>
      </c>
      <c r="E79" s="202">
        <v>1663</v>
      </c>
      <c r="F79" s="202">
        <v>1571</v>
      </c>
      <c r="G79" s="126">
        <v>1537</v>
      </c>
      <c r="H79" s="126">
        <v>1537</v>
      </c>
      <c r="I79" s="7"/>
      <c r="J79" s="691"/>
      <c r="K79" s="604"/>
      <c r="L79" s="604"/>
      <c r="M79" s="604"/>
      <c r="N79" s="604"/>
      <c r="P79" s="6"/>
      <c r="Q79" s="6"/>
      <c r="R79" s="6"/>
      <c r="S79" s="6"/>
      <c r="T79" s="6"/>
    </row>
    <row r="80" spans="1:21" ht="17.25">
      <c r="A80" s="6"/>
      <c r="B80" s="72" t="s">
        <v>263</v>
      </c>
      <c r="C80" s="204" t="s">
        <v>76</v>
      </c>
      <c r="D80" s="204" t="s">
        <v>76</v>
      </c>
      <c r="E80" s="204" t="s">
        <v>76</v>
      </c>
      <c r="F80" s="204" t="s">
        <v>76</v>
      </c>
      <c r="G80" s="168" t="s">
        <v>76</v>
      </c>
      <c r="H80" s="126">
        <v>1097</v>
      </c>
      <c r="I80" s="7"/>
      <c r="J80" s="604"/>
      <c r="K80" s="604"/>
      <c r="L80" s="604"/>
      <c r="M80" s="604"/>
      <c r="N80" s="604"/>
      <c r="P80" s="6"/>
      <c r="Q80" s="6"/>
      <c r="R80" s="6"/>
      <c r="S80" s="6"/>
      <c r="T80" s="6"/>
    </row>
    <row r="81" spans="1:20" ht="18" thickBot="1">
      <c r="A81" s="6"/>
      <c r="B81" s="96" t="s">
        <v>102</v>
      </c>
      <c r="C81" s="127">
        <v>1006</v>
      </c>
      <c r="D81" s="127">
        <v>692</v>
      </c>
      <c r="E81" s="127">
        <v>592</v>
      </c>
      <c r="F81" s="127">
        <v>596</v>
      </c>
      <c r="G81" s="203">
        <v>669</v>
      </c>
      <c r="H81" s="127">
        <v>669</v>
      </c>
      <c r="I81" s="7"/>
      <c r="J81" s="605"/>
      <c r="P81" s="6"/>
      <c r="Q81" s="6"/>
      <c r="R81" s="6"/>
      <c r="S81" s="6"/>
      <c r="T81" s="6"/>
    </row>
    <row r="82" spans="1:20" ht="5.25" customHeight="1">
      <c r="A82" s="6"/>
      <c r="B82" s="34"/>
      <c r="D82" s="6"/>
      <c r="E82" s="34"/>
      <c r="F82" s="34"/>
      <c r="G82" s="34"/>
      <c r="H82" s="34"/>
      <c r="I82" s="7"/>
      <c r="J82" s="605"/>
      <c r="O82" s="6"/>
      <c r="P82" s="6"/>
      <c r="Q82" s="6"/>
      <c r="R82" s="6"/>
    </row>
    <row r="83" spans="1:20" ht="18" thickBot="1">
      <c r="A83" s="2" t="s">
        <v>446</v>
      </c>
      <c r="B83" s="491"/>
      <c r="D83" s="491"/>
      <c r="E83" s="7"/>
      <c r="F83" s="7"/>
      <c r="G83" s="7"/>
      <c r="H83" s="7"/>
      <c r="I83" s="7"/>
      <c r="J83" s="605"/>
    </row>
    <row r="84" spans="1:20" ht="17.25">
      <c r="A84" s="6"/>
      <c r="B84" s="388" t="s">
        <v>50</v>
      </c>
      <c r="C84" s="294" t="s">
        <v>40</v>
      </c>
      <c r="D84" s="294" t="s">
        <v>41</v>
      </c>
      <c r="E84" s="293" t="s">
        <v>42</v>
      </c>
      <c r="F84" s="293" t="s">
        <v>43</v>
      </c>
      <c r="G84" s="388" t="s">
        <v>44</v>
      </c>
      <c r="H84" s="388" t="s">
        <v>45</v>
      </c>
      <c r="I84" s="7"/>
      <c r="J84" s="605"/>
      <c r="O84" s="6"/>
      <c r="P84" s="6"/>
      <c r="Q84" s="6"/>
      <c r="R84" s="6"/>
      <c r="S84" s="6"/>
      <c r="T84" s="6"/>
    </row>
    <row r="85" spans="1:20" ht="17.25">
      <c r="A85" s="6"/>
      <c r="B85" s="86" t="s">
        <v>96</v>
      </c>
      <c r="C85" s="201" t="s">
        <v>264</v>
      </c>
      <c r="D85" s="201" t="s">
        <v>265</v>
      </c>
      <c r="E85" s="205" t="s">
        <v>266</v>
      </c>
      <c r="F85" s="205" t="s">
        <v>267</v>
      </c>
      <c r="G85" s="169" t="s">
        <v>268</v>
      </c>
      <c r="H85" s="169" t="s">
        <v>269</v>
      </c>
      <c r="I85" s="7"/>
      <c r="J85" s="7"/>
      <c r="L85" s="6"/>
      <c r="P85" s="6"/>
      <c r="Q85" s="6"/>
      <c r="R85" s="6"/>
      <c r="S85" s="6"/>
      <c r="T85" s="6"/>
    </row>
    <row r="86" spans="1:20" ht="17.25">
      <c r="A86" s="6"/>
      <c r="B86" s="72" t="s">
        <v>260</v>
      </c>
      <c r="C86" s="202" t="s">
        <v>270</v>
      </c>
      <c r="D86" s="202" t="s">
        <v>271</v>
      </c>
      <c r="E86" s="206" t="s">
        <v>272</v>
      </c>
      <c r="F86" s="206" t="s">
        <v>273</v>
      </c>
      <c r="G86" s="170" t="s">
        <v>274</v>
      </c>
      <c r="H86" s="170" t="s">
        <v>274</v>
      </c>
      <c r="I86" s="7"/>
      <c r="J86" s="7"/>
      <c r="L86" s="6"/>
      <c r="P86" s="6"/>
      <c r="Q86" s="6"/>
      <c r="R86" s="6"/>
      <c r="S86" s="6"/>
      <c r="T86" s="6"/>
    </row>
    <row r="87" spans="1:20" ht="17.25">
      <c r="A87" s="6"/>
      <c r="B87" s="72" t="s">
        <v>261</v>
      </c>
      <c r="C87" s="202" t="s">
        <v>275</v>
      </c>
      <c r="D87" s="202" t="s">
        <v>276</v>
      </c>
      <c r="E87" s="206" t="s">
        <v>277</v>
      </c>
      <c r="F87" s="206" t="s">
        <v>278</v>
      </c>
      <c r="G87" s="170" t="s">
        <v>279</v>
      </c>
      <c r="H87" s="170" t="s">
        <v>279</v>
      </c>
      <c r="I87" s="7"/>
      <c r="J87" s="7"/>
      <c r="L87" s="6"/>
      <c r="P87" s="6"/>
      <c r="Q87" s="6"/>
      <c r="R87" s="6"/>
      <c r="S87" s="6"/>
      <c r="T87" s="6"/>
    </row>
    <row r="88" spans="1:20" ht="17.25">
      <c r="A88" s="6"/>
      <c r="B88" s="72" t="s">
        <v>262</v>
      </c>
      <c r="C88" s="202" t="s">
        <v>280</v>
      </c>
      <c r="D88" s="202" t="s">
        <v>281</v>
      </c>
      <c r="E88" s="206" t="s">
        <v>282</v>
      </c>
      <c r="F88" s="206" t="s">
        <v>283</v>
      </c>
      <c r="G88" s="170" t="s">
        <v>284</v>
      </c>
      <c r="H88" s="170" t="s">
        <v>284</v>
      </c>
      <c r="I88" s="7"/>
      <c r="J88" s="7"/>
      <c r="L88" s="6"/>
      <c r="P88" s="6"/>
      <c r="Q88" s="6"/>
      <c r="R88" s="6"/>
      <c r="S88" s="6"/>
      <c r="T88" s="6"/>
    </row>
    <row r="89" spans="1:20" ht="17.25">
      <c r="A89" s="6"/>
      <c r="B89" s="72" t="s">
        <v>263</v>
      </c>
      <c r="C89" s="206" t="s">
        <v>76</v>
      </c>
      <c r="D89" s="206" t="s">
        <v>76</v>
      </c>
      <c r="E89" s="206" t="s">
        <v>76</v>
      </c>
      <c r="F89" s="206" t="s">
        <v>76</v>
      </c>
      <c r="G89" s="168" t="s">
        <v>76</v>
      </c>
      <c r="H89" s="170" t="s">
        <v>285</v>
      </c>
      <c r="I89" s="7"/>
      <c r="J89" s="7"/>
      <c r="L89" s="6"/>
      <c r="P89" s="6"/>
      <c r="Q89" s="6"/>
      <c r="R89" s="6"/>
      <c r="S89" s="6"/>
      <c r="T89" s="6"/>
    </row>
    <row r="90" spans="1:20" ht="18" thickBot="1">
      <c r="A90" s="6"/>
      <c r="B90" s="96" t="s">
        <v>102</v>
      </c>
      <c r="C90" s="127" t="s">
        <v>286</v>
      </c>
      <c r="D90" s="127" t="s">
        <v>287</v>
      </c>
      <c r="E90" s="207" t="s">
        <v>288</v>
      </c>
      <c r="F90" s="207" t="s">
        <v>289</v>
      </c>
      <c r="G90" s="171" t="s">
        <v>290</v>
      </c>
      <c r="H90" s="171" t="s">
        <v>290</v>
      </c>
      <c r="I90" s="7"/>
      <c r="J90" s="7"/>
      <c r="L90" s="6"/>
      <c r="P90" s="6"/>
      <c r="Q90" s="6"/>
      <c r="R90" s="6"/>
      <c r="S90" s="6"/>
      <c r="T90" s="6"/>
    </row>
    <row r="91" spans="1:20" ht="5.25" customHeight="1">
      <c r="A91" s="6"/>
      <c r="B91" s="34"/>
      <c r="I91" s="7"/>
      <c r="L91" s="6"/>
      <c r="P91" s="6"/>
      <c r="Q91" s="6"/>
      <c r="R91" s="6"/>
      <c r="S91" s="6"/>
      <c r="T91" s="6"/>
    </row>
    <row r="92" spans="1:20" ht="18" thickBot="1">
      <c r="A92" s="85" t="s">
        <v>291</v>
      </c>
      <c r="B92" s="491"/>
      <c r="D92" s="491"/>
      <c r="E92" s="7"/>
      <c r="F92" s="7"/>
      <c r="G92" s="7"/>
      <c r="H92" s="7"/>
      <c r="I92" s="7"/>
    </row>
    <row r="93" spans="1:20" ht="17.25">
      <c r="A93" s="6"/>
      <c r="B93" s="388" t="s">
        <v>50</v>
      </c>
      <c r="C93" s="294" t="s">
        <v>40</v>
      </c>
      <c r="D93" s="294" t="s">
        <v>41</v>
      </c>
      <c r="E93" s="293" t="s">
        <v>42</v>
      </c>
      <c r="F93" s="293" t="s">
        <v>43</v>
      </c>
      <c r="G93" s="388" t="s">
        <v>44</v>
      </c>
      <c r="H93" s="388" t="s">
        <v>45</v>
      </c>
      <c r="I93" s="7"/>
      <c r="L93" s="6"/>
      <c r="M93" s="6"/>
      <c r="P93" s="6"/>
      <c r="Q93" s="6"/>
      <c r="R93" s="6"/>
      <c r="S93" s="6"/>
      <c r="T93" s="6"/>
    </row>
    <row r="94" spans="1:20" ht="17.25">
      <c r="A94" s="6"/>
      <c r="B94" s="86" t="s">
        <v>96</v>
      </c>
      <c r="C94" s="536" t="s">
        <v>292</v>
      </c>
      <c r="D94" s="536" t="s">
        <v>293</v>
      </c>
      <c r="E94" s="205" t="s">
        <v>294</v>
      </c>
      <c r="F94" s="205" t="s">
        <v>295</v>
      </c>
      <c r="G94" s="128" t="s">
        <v>296</v>
      </c>
      <c r="H94" s="128" t="s">
        <v>297</v>
      </c>
      <c r="I94" s="7"/>
      <c r="J94" s="507"/>
      <c r="L94" s="6"/>
      <c r="P94" s="6"/>
      <c r="Q94" s="6"/>
      <c r="R94" s="6"/>
      <c r="S94" s="6"/>
      <c r="T94" s="6"/>
    </row>
    <row r="95" spans="1:20" ht="17.25">
      <c r="A95" s="6"/>
      <c r="B95" s="72" t="s">
        <v>260</v>
      </c>
      <c r="C95" s="508" t="s">
        <v>298</v>
      </c>
      <c r="D95" s="508" t="s">
        <v>299</v>
      </c>
      <c r="E95" s="206" t="s">
        <v>300</v>
      </c>
      <c r="F95" s="206" t="s">
        <v>301</v>
      </c>
      <c r="G95" s="129" t="s">
        <v>302</v>
      </c>
      <c r="H95" s="129" t="s">
        <v>302</v>
      </c>
      <c r="I95" s="7"/>
      <c r="J95" s="507"/>
      <c r="L95" s="6"/>
      <c r="P95" s="6"/>
      <c r="Q95" s="6"/>
      <c r="R95" s="6"/>
      <c r="S95" s="6"/>
      <c r="T95" s="6"/>
    </row>
    <row r="96" spans="1:20" ht="17.25">
      <c r="A96" s="6"/>
      <c r="B96" s="72" t="s">
        <v>261</v>
      </c>
      <c r="C96" s="508" t="s">
        <v>303</v>
      </c>
      <c r="D96" s="508" t="s">
        <v>304</v>
      </c>
      <c r="E96" s="206" t="s">
        <v>305</v>
      </c>
      <c r="F96" s="206" t="s">
        <v>306</v>
      </c>
      <c r="G96" s="129" t="s">
        <v>307</v>
      </c>
      <c r="H96" s="129" t="s">
        <v>307</v>
      </c>
      <c r="I96" s="7"/>
      <c r="J96" s="507"/>
      <c r="L96" s="6"/>
      <c r="P96" s="6"/>
      <c r="Q96" s="6"/>
      <c r="R96" s="6"/>
      <c r="S96" s="6"/>
      <c r="T96" s="6"/>
    </row>
    <row r="97" spans="1:26" ht="17.25">
      <c r="A97" s="6"/>
      <c r="B97" s="72" t="s">
        <v>262</v>
      </c>
      <c r="C97" s="508" t="s">
        <v>308</v>
      </c>
      <c r="D97" s="508" t="s">
        <v>309</v>
      </c>
      <c r="E97" s="206" t="s">
        <v>310</v>
      </c>
      <c r="F97" s="206" t="s">
        <v>311</v>
      </c>
      <c r="G97" s="129" t="s">
        <v>312</v>
      </c>
      <c r="H97" s="129" t="s">
        <v>312</v>
      </c>
      <c r="I97" s="7"/>
      <c r="J97" s="507"/>
      <c r="L97" s="6"/>
      <c r="P97" s="6"/>
      <c r="Q97" s="6"/>
      <c r="R97" s="6"/>
      <c r="S97" s="6"/>
      <c r="T97" s="6"/>
    </row>
    <row r="98" spans="1:26" ht="17.25">
      <c r="A98" s="6"/>
      <c r="B98" s="72" t="s">
        <v>263</v>
      </c>
      <c r="C98" s="206" t="s">
        <v>76</v>
      </c>
      <c r="D98" s="206" t="s">
        <v>76</v>
      </c>
      <c r="E98" s="206" t="s">
        <v>76</v>
      </c>
      <c r="F98" s="206" t="s">
        <v>76</v>
      </c>
      <c r="G98" s="168" t="s">
        <v>76</v>
      </c>
      <c r="H98" s="129" t="s">
        <v>295</v>
      </c>
      <c r="I98" s="7"/>
      <c r="J98" s="507"/>
      <c r="L98" s="6"/>
      <c r="P98" s="6"/>
      <c r="Q98" s="6"/>
      <c r="R98" s="6"/>
      <c r="S98" s="6"/>
      <c r="T98" s="6"/>
    </row>
    <row r="99" spans="1:26" ht="18" thickBot="1">
      <c r="A99" s="6"/>
      <c r="B99" s="96" t="s">
        <v>102</v>
      </c>
      <c r="C99" s="207" t="s">
        <v>313</v>
      </c>
      <c r="D99" s="207" t="s">
        <v>314</v>
      </c>
      <c r="E99" s="207" t="s">
        <v>315</v>
      </c>
      <c r="F99" s="207" t="s">
        <v>316</v>
      </c>
      <c r="G99" s="130" t="s">
        <v>317</v>
      </c>
      <c r="H99" s="130" t="s">
        <v>317</v>
      </c>
      <c r="I99" s="7"/>
      <c r="J99" s="507"/>
      <c r="K99" s="565" t="s">
        <v>60</v>
      </c>
      <c r="L99" s="6"/>
      <c r="O99" s="6"/>
      <c r="P99" s="6"/>
      <c r="Q99" s="6"/>
      <c r="R99" s="6"/>
      <c r="S99" s="6"/>
      <c r="T99" s="6"/>
    </row>
    <row r="100" spans="1:26" ht="5.25" customHeight="1">
      <c r="A100" s="6"/>
      <c r="B100" s="6"/>
      <c r="C100" s="6"/>
      <c r="D100" s="34"/>
      <c r="E100" s="34"/>
      <c r="F100" s="34"/>
      <c r="G100" s="34"/>
      <c r="H100" s="34"/>
      <c r="I100" s="34"/>
      <c r="J100" s="6"/>
      <c r="K100" s="6"/>
      <c r="L100" s="6"/>
      <c r="M100" s="6"/>
      <c r="N100" s="6"/>
      <c r="O100" s="6"/>
      <c r="P100" s="6"/>
      <c r="Q100" s="6"/>
      <c r="R100" s="6"/>
    </row>
    <row r="101" spans="1:26" ht="18" thickBot="1">
      <c r="A101" s="85" t="s">
        <v>318</v>
      </c>
      <c r="B101" s="491"/>
      <c r="C101" s="491"/>
      <c r="D101" s="540"/>
      <c r="E101" s="7"/>
      <c r="F101" s="7"/>
      <c r="G101" s="7"/>
      <c r="H101" s="7"/>
      <c r="I101" s="7"/>
    </row>
    <row r="102" spans="1:26" ht="16.5" customHeight="1" thickBot="1">
      <c r="A102" s="6"/>
      <c r="B102" s="684" t="s">
        <v>319</v>
      </c>
      <c r="C102" s="686" t="s">
        <v>40</v>
      </c>
      <c r="D102" s="687"/>
      <c r="E102" s="686" t="s">
        <v>41</v>
      </c>
      <c r="F102" s="687"/>
      <c r="G102" s="686" t="s">
        <v>42</v>
      </c>
      <c r="H102" s="687"/>
      <c r="I102" s="686" t="s">
        <v>43</v>
      </c>
      <c r="J102" s="687"/>
      <c r="K102" s="682" t="s">
        <v>44</v>
      </c>
      <c r="L102" s="683"/>
      <c r="M102" s="682" t="s">
        <v>45</v>
      </c>
      <c r="N102" s="683"/>
      <c r="T102" s="6"/>
      <c r="U102" s="6"/>
      <c r="V102" s="6"/>
      <c r="W102" s="6"/>
      <c r="X102" s="6"/>
      <c r="Y102" s="6"/>
      <c r="Z102" s="6"/>
    </row>
    <row r="103" spans="1:26" ht="16.5" thickBot="1">
      <c r="A103" s="6"/>
      <c r="B103" s="688"/>
      <c r="C103" s="295" t="s">
        <v>320</v>
      </c>
      <c r="D103" s="295" t="s">
        <v>321</v>
      </c>
      <c r="E103" s="295" t="s">
        <v>320</v>
      </c>
      <c r="F103" s="295" t="s">
        <v>321</v>
      </c>
      <c r="G103" s="295" t="s">
        <v>320</v>
      </c>
      <c r="H103" s="295" t="s">
        <v>321</v>
      </c>
      <c r="I103" s="295" t="s">
        <v>320</v>
      </c>
      <c r="J103" s="295" t="s">
        <v>321</v>
      </c>
      <c r="K103" s="296" t="s">
        <v>320</v>
      </c>
      <c r="L103" s="296" t="s">
        <v>321</v>
      </c>
      <c r="M103" s="296" t="s">
        <v>320</v>
      </c>
      <c r="N103" s="296" t="s">
        <v>321</v>
      </c>
      <c r="T103" s="6"/>
      <c r="U103" s="6"/>
      <c r="V103" s="6"/>
      <c r="W103" s="6"/>
      <c r="X103" s="6"/>
      <c r="Y103" s="6"/>
      <c r="Z103" s="6"/>
    </row>
    <row r="104" spans="1:26">
      <c r="A104" s="6"/>
      <c r="B104" s="86" t="s">
        <v>96</v>
      </c>
      <c r="C104" s="123">
        <v>51.8</v>
      </c>
      <c r="D104" s="123">
        <v>48.2</v>
      </c>
      <c r="E104" s="123">
        <f>100-F104</f>
        <v>52.5</v>
      </c>
      <c r="F104" s="123">
        <v>47.5</v>
      </c>
      <c r="G104" s="123">
        <v>53.58</v>
      </c>
      <c r="H104" s="123">
        <v>46.42</v>
      </c>
      <c r="I104" s="205">
        <v>54.08</v>
      </c>
      <c r="J104" s="205">
        <v>45.92</v>
      </c>
      <c r="K104" s="139">
        <v>53.69</v>
      </c>
      <c r="L104" s="139">
        <v>46.31</v>
      </c>
      <c r="M104" s="139">
        <v>53.1</v>
      </c>
      <c r="N104" s="139">
        <v>46.9</v>
      </c>
      <c r="T104" s="6"/>
      <c r="U104" s="6"/>
      <c r="V104" s="6"/>
      <c r="W104" s="6"/>
      <c r="X104" s="6"/>
      <c r="Y104" s="6"/>
      <c r="Z104" s="6"/>
    </row>
    <row r="105" spans="1:26">
      <c r="A105" s="6"/>
      <c r="B105" s="72" t="s">
        <v>260</v>
      </c>
      <c r="C105" s="72">
        <v>54.6</v>
      </c>
      <c r="D105" s="72">
        <v>45.4</v>
      </c>
      <c r="E105" s="72">
        <v>56</v>
      </c>
      <c r="F105" s="72">
        <v>44</v>
      </c>
      <c r="G105" s="72">
        <v>116.49</v>
      </c>
      <c r="H105" s="72">
        <v>83.51</v>
      </c>
      <c r="I105" s="206">
        <v>57.85</v>
      </c>
      <c r="J105" s="206">
        <v>42.15</v>
      </c>
      <c r="K105" s="137">
        <v>58.71</v>
      </c>
      <c r="L105" s="137">
        <v>41.29</v>
      </c>
      <c r="M105" s="137">
        <v>58.71</v>
      </c>
      <c r="N105" s="137">
        <v>41.27</v>
      </c>
      <c r="S105" s="6"/>
      <c r="T105" s="6"/>
      <c r="U105" s="6"/>
      <c r="V105" s="6"/>
      <c r="W105" s="6"/>
      <c r="X105" s="6"/>
      <c r="Y105" s="6"/>
      <c r="Z105" s="6"/>
    </row>
    <row r="106" spans="1:26">
      <c r="A106" s="6"/>
      <c r="B106" s="72" t="s">
        <v>261</v>
      </c>
      <c r="C106" s="72">
        <v>46.1</v>
      </c>
      <c r="D106" s="72">
        <v>53.9</v>
      </c>
      <c r="E106" s="72">
        <v>46.5</v>
      </c>
      <c r="F106" s="72">
        <v>53.5</v>
      </c>
      <c r="G106" s="72">
        <v>103.32</v>
      </c>
      <c r="H106" s="72">
        <v>96.68</v>
      </c>
      <c r="I106" s="206">
        <v>49.57</v>
      </c>
      <c r="J106" s="206">
        <v>50.43</v>
      </c>
      <c r="K106" s="137">
        <v>47.65</v>
      </c>
      <c r="L106" s="137">
        <v>52.35</v>
      </c>
      <c r="M106" s="137">
        <v>47.65</v>
      </c>
      <c r="N106" s="137">
        <v>52.35</v>
      </c>
      <c r="S106" s="6"/>
      <c r="T106" s="6"/>
      <c r="U106" s="6"/>
      <c r="V106" s="6"/>
      <c r="W106" s="6"/>
      <c r="X106" s="6"/>
      <c r="Y106" s="6"/>
      <c r="Z106" s="6"/>
    </row>
    <row r="107" spans="1:26">
      <c r="A107" s="6"/>
      <c r="B107" s="72" t="s">
        <v>262</v>
      </c>
      <c r="C107" s="72">
        <v>60.6</v>
      </c>
      <c r="D107" s="72">
        <v>39.4</v>
      </c>
      <c r="E107" s="72">
        <v>61</v>
      </c>
      <c r="F107" s="72">
        <v>39</v>
      </c>
      <c r="G107" s="72">
        <v>63.45</v>
      </c>
      <c r="H107" s="72">
        <v>36.549999999999997</v>
      </c>
      <c r="I107" s="206">
        <v>62.37</v>
      </c>
      <c r="J107" s="206">
        <v>37.630000000000003</v>
      </c>
      <c r="K107" s="137">
        <v>63.81</v>
      </c>
      <c r="L107" s="137">
        <v>36.19</v>
      </c>
      <c r="M107" s="137">
        <v>63.81</v>
      </c>
      <c r="N107" s="137">
        <v>36.19</v>
      </c>
      <c r="U107" s="6"/>
      <c r="V107" s="6"/>
      <c r="W107" s="6"/>
      <c r="X107" s="6"/>
      <c r="Y107" s="6"/>
      <c r="Z107" s="6"/>
    </row>
    <row r="108" spans="1:26">
      <c r="A108" s="6"/>
      <c r="B108" s="72" t="s">
        <v>263</v>
      </c>
      <c r="C108" s="322" t="s">
        <v>76</v>
      </c>
      <c r="D108" s="322" t="s">
        <v>76</v>
      </c>
      <c r="E108" s="322" t="s">
        <v>76</v>
      </c>
      <c r="F108" s="322" t="s">
        <v>76</v>
      </c>
      <c r="G108" s="322" t="s">
        <v>76</v>
      </c>
      <c r="H108" s="322" t="s">
        <v>76</v>
      </c>
      <c r="I108" s="206" t="s">
        <v>76</v>
      </c>
      <c r="J108" s="206" t="s">
        <v>76</v>
      </c>
      <c r="K108" s="168" t="s">
        <v>76</v>
      </c>
      <c r="L108" s="168" t="s">
        <v>76</v>
      </c>
      <c r="M108" s="137">
        <v>46.7</v>
      </c>
      <c r="N108" s="137">
        <v>53.3</v>
      </c>
      <c r="U108" s="6"/>
      <c r="V108" s="6"/>
      <c r="W108" s="6"/>
      <c r="X108" s="6"/>
      <c r="Y108" s="6"/>
      <c r="Z108" s="6"/>
    </row>
    <row r="109" spans="1:26" ht="16.5" thickBot="1">
      <c r="A109" s="6"/>
      <c r="B109" s="96" t="s">
        <v>102</v>
      </c>
      <c r="C109" s="103">
        <v>54.5</v>
      </c>
      <c r="D109" s="103">
        <v>45.5</v>
      </c>
      <c r="E109" s="103">
        <v>55.4</v>
      </c>
      <c r="F109" s="103">
        <v>44.3</v>
      </c>
      <c r="G109" s="103">
        <v>52.07</v>
      </c>
      <c r="H109" s="103">
        <v>47.93</v>
      </c>
      <c r="I109" s="207">
        <v>52.34</v>
      </c>
      <c r="J109" s="207">
        <v>47.66</v>
      </c>
      <c r="K109" s="138">
        <v>53.69</v>
      </c>
      <c r="L109" s="138">
        <v>46.31</v>
      </c>
      <c r="M109" s="138">
        <v>54.72</v>
      </c>
      <c r="N109" s="138">
        <v>45.28</v>
      </c>
      <c r="U109" s="6"/>
      <c r="V109" s="6"/>
      <c r="W109" s="6"/>
      <c r="X109" s="6"/>
      <c r="Y109" s="6"/>
      <c r="Z109" s="6"/>
    </row>
    <row r="110" spans="1:26" ht="10.5" customHeight="1" thickBot="1">
      <c r="A110" s="6"/>
      <c r="B110" s="6"/>
      <c r="E110" s="6"/>
      <c r="F110" s="6"/>
      <c r="G110" s="6"/>
      <c r="H110" s="6"/>
      <c r="I110" s="6"/>
      <c r="S110" s="6"/>
      <c r="T110" s="6"/>
      <c r="U110" s="6"/>
      <c r="V110" s="6"/>
    </row>
    <row r="111" spans="1:26" ht="16.5" customHeight="1" thickBot="1">
      <c r="A111" s="6"/>
      <c r="B111" s="684" t="s">
        <v>322</v>
      </c>
      <c r="C111" s="686" t="s">
        <v>40</v>
      </c>
      <c r="D111" s="687"/>
      <c r="E111" s="686" t="s">
        <v>41</v>
      </c>
      <c r="F111" s="687"/>
      <c r="G111" s="686" t="s">
        <v>42</v>
      </c>
      <c r="H111" s="687"/>
      <c r="I111" s="686" t="s">
        <v>43</v>
      </c>
      <c r="J111" s="687"/>
      <c r="K111" s="682" t="s">
        <v>44</v>
      </c>
      <c r="L111" s="683"/>
      <c r="M111" s="682" t="s">
        <v>45</v>
      </c>
      <c r="N111" s="683"/>
      <c r="U111" s="6"/>
      <c r="V111" s="6"/>
      <c r="W111" s="6"/>
      <c r="X111" s="6"/>
      <c r="Y111" s="6"/>
      <c r="Z111" s="6"/>
    </row>
    <row r="112" spans="1:26" ht="16.5" thickBot="1">
      <c r="A112" s="6"/>
      <c r="B112" s="688"/>
      <c r="C112" s="295" t="s">
        <v>320</v>
      </c>
      <c r="D112" s="295" t="s">
        <v>321</v>
      </c>
      <c r="E112" s="295" t="s">
        <v>320</v>
      </c>
      <c r="F112" s="295" t="s">
        <v>321</v>
      </c>
      <c r="G112" s="295" t="s">
        <v>320</v>
      </c>
      <c r="H112" s="295" t="s">
        <v>321</v>
      </c>
      <c r="I112" s="295" t="s">
        <v>320</v>
      </c>
      <c r="J112" s="295" t="s">
        <v>321</v>
      </c>
      <c r="K112" s="296" t="s">
        <v>320</v>
      </c>
      <c r="L112" s="296" t="s">
        <v>321</v>
      </c>
      <c r="M112" s="296" t="s">
        <v>320</v>
      </c>
      <c r="N112" s="296" t="s">
        <v>321</v>
      </c>
      <c r="U112" s="6"/>
      <c r="V112" s="6"/>
      <c r="W112" s="6"/>
      <c r="X112" s="6"/>
      <c r="Y112" s="6"/>
      <c r="Z112" s="6"/>
    </row>
    <row r="113" spans="1:26">
      <c r="A113" s="6"/>
      <c r="B113" s="86" t="s">
        <v>96</v>
      </c>
      <c r="C113" s="123">
        <v>91.7</v>
      </c>
      <c r="D113" s="123">
        <v>8.3000000000000007</v>
      </c>
      <c r="E113" s="123">
        <v>92.7</v>
      </c>
      <c r="F113" s="123">
        <f>100-E113</f>
        <v>7.2999999999999972</v>
      </c>
      <c r="G113" s="123">
        <v>93.39</v>
      </c>
      <c r="H113" s="123">
        <v>6.61</v>
      </c>
      <c r="I113" s="205">
        <v>93.39</v>
      </c>
      <c r="J113" s="205">
        <v>6.61</v>
      </c>
      <c r="K113" s="139">
        <v>93.55</v>
      </c>
      <c r="L113" s="139">
        <v>6.45</v>
      </c>
      <c r="M113" s="139">
        <v>93.22</v>
      </c>
      <c r="N113" s="139">
        <v>6.78</v>
      </c>
      <c r="U113" s="6"/>
      <c r="V113" s="6"/>
      <c r="W113" s="6"/>
      <c r="X113" s="6"/>
      <c r="Y113" s="6"/>
      <c r="Z113" s="6"/>
    </row>
    <row r="114" spans="1:26">
      <c r="A114" s="6"/>
      <c r="B114" s="72" t="s">
        <v>260</v>
      </c>
      <c r="C114" s="72">
        <v>94</v>
      </c>
      <c r="D114" s="72">
        <v>6</v>
      </c>
      <c r="E114" s="72">
        <v>94.6</v>
      </c>
      <c r="F114" s="72">
        <f>100-E114</f>
        <v>5.4000000000000057</v>
      </c>
      <c r="G114" s="72">
        <v>188.5</v>
      </c>
      <c r="H114" s="72">
        <v>11.5</v>
      </c>
      <c r="I114" s="206">
        <v>95.5</v>
      </c>
      <c r="J114" s="206">
        <v>4.5</v>
      </c>
      <c r="K114" s="137">
        <v>95.85</v>
      </c>
      <c r="L114" s="137">
        <v>4.1500000000000004</v>
      </c>
      <c r="M114" s="137">
        <v>95.85</v>
      </c>
      <c r="N114" s="137">
        <v>4.1500000000000004</v>
      </c>
      <c r="U114" s="6"/>
      <c r="V114" s="6"/>
      <c r="W114" s="6"/>
      <c r="X114" s="6"/>
      <c r="Y114" s="6"/>
      <c r="Z114" s="6"/>
    </row>
    <row r="115" spans="1:26">
      <c r="A115" s="6"/>
      <c r="B115" s="72" t="s">
        <v>261</v>
      </c>
      <c r="C115" s="153">
        <v>89.3</v>
      </c>
      <c r="D115" s="153">
        <v>10.7</v>
      </c>
      <c r="E115" s="153">
        <v>91</v>
      </c>
      <c r="F115" s="153">
        <f>100-E115</f>
        <v>9</v>
      </c>
      <c r="G115" s="72">
        <v>182.47</v>
      </c>
      <c r="H115" s="72">
        <v>17.53</v>
      </c>
      <c r="I115" s="206">
        <v>91.13</v>
      </c>
      <c r="J115" s="206">
        <v>8.8699999999999992</v>
      </c>
      <c r="K115" s="137">
        <v>90.99</v>
      </c>
      <c r="L115" s="137">
        <v>9.01</v>
      </c>
      <c r="M115" s="137">
        <v>90.99</v>
      </c>
      <c r="N115" s="137">
        <v>9.01</v>
      </c>
      <c r="U115" s="6"/>
      <c r="V115" s="6"/>
      <c r="W115" s="6"/>
      <c r="X115" s="6"/>
      <c r="Y115" s="6"/>
      <c r="Z115" s="6"/>
    </row>
    <row r="116" spans="1:26">
      <c r="A116" s="6"/>
      <c r="B116" s="72" t="s">
        <v>262</v>
      </c>
      <c r="C116" s="72">
        <v>92.1</v>
      </c>
      <c r="D116" s="72">
        <v>7.9</v>
      </c>
      <c r="E116" s="72">
        <v>91.7</v>
      </c>
      <c r="F116" s="72">
        <f>100-E116</f>
        <v>8.2999999999999972</v>
      </c>
      <c r="G116" s="72">
        <v>92.66</v>
      </c>
      <c r="H116" s="72">
        <v>7.34</v>
      </c>
      <c r="I116" s="206">
        <v>93.16</v>
      </c>
      <c r="J116" s="206">
        <v>6.84</v>
      </c>
      <c r="K116" s="137">
        <v>94.58</v>
      </c>
      <c r="L116" s="137">
        <v>5.42</v>
      </c>
      <c r="M116" s="137">
        <v>94.58</v>
      </c>
      <c r="N116" s="137">
        <v>5.42</v>
      </c>
      <c r="U116" s="6"/>
      <c r="V116" s="6"/>
      <c r="W116" s="6"/>
      <c r="X116" s="6"/>
      <c r="Y116" s="6"/>
      <c r="Z116" s="6"/>
    </row>
    <row r="117" spans="1:26">
      <c r="A117" s="6"/>
      <c r="B117" s="72" t="s">
        <v>263</v>
      </c>
      <c r="C117" s="322" t="s">
        <v>76</v>
      </c>
      <c r="D117" s="322" t="s">
        <v>76</v>
      </c>
      <c r="E117" s="322" t="s">
        <v>76</v>
      </c>
      <c r="F117" s="322" t="s">
        <v>76</v>
      </c>
      <c r="G117" s="322" t="s">
        <v>76</v>
      </c>
      <c r="H117" s="322" t="s">
        <v>76</v>
      </c>
      <c r="I117" s="206" t="s">
        <v>76</v>
      </c>
      <c r="J117" s="206" t="s">
        <v>76</v>
      </c>
      <c r="K117" s="168" t="s">
        <v>76</v>
      </c>
      <c r="L117" s="168" t="s">
        <v>76</v>
      </c>
      <c r="M117" s="137">
        <v>89.45</v>
      </c>
      <c r="N117" s="137">
        <v>10.55</v>
      </c>
      <c r="U117" s="6"/>
      <c r="V117" s="6"/>
      <c r="W117" s="6"/>
      <c r="X117" s="6"/>
      <c r="Y117" s="6"/>
      <c r="Z117" s="6"/>
    </row>
    <row r="118" spans="1:26" ht="16.5" thickBot="1">
      <c r="A118" s="6"/>
      <c r="B118" s="96" t="s">
        <v>102</v>
      </c>
      <c r="C118" s="103">
        <v>66.7</v>
      </c>
      <c r="D118" s="103">
        <v>33.299999999999997</v>
      </c>
      <c r="E118" s="103">
        <v>66.7</v>
      </c>
      <c r="F118" s="103">
        <f>100-E118</f>
        <v>33.299999999999997</v>
      </c>
      <c r="G118" s="103">
        <v>0</v>
      </c>
      <c r="H118" s="103">
        <v>0</v>
      </c>
      <c r="I118" s="94">
        <v>0</v>
      </c>
      <c r="J118" s="94">
        <v>0</v>
      </c>
      <c r="K118" s="138">
        <v>0</v>
      </c>
      <c r="L118" s="138">
        <v>0</v>
      </c>
      <c r="M118" s="138">
        <v>0</v>
      </c>
      <c r="N118" s="138">
        <v>0</v>
      </c>
      <c r="U118" s="6"/>
      <c r="V118" s="6"/>
      <c r="W118" s="6"/>
      <c r="X118" s="6"/>
      <c r="Y118" s="6"/>
      <c r="Z118" s="6"/>
    </row>
    <row r="119" spans="1:26" ht="5.25" customHeight="1">
      <c r="A119" s="6"/>
      <c r="B119" s="41"/>
      <c r="E119" s="97"/>
      <c r="F119" s="97"/>
      <c r="G119" s="34"/>
      <c r="H119" s="34"/>
      <c r="I119" s="34"/>
      <c r="J119" s="41"/>
      <c r="K119" s="54"/>
      <c r="L119" s="54"/>
      <c r="M119" s="6"/>
      <c r="N119" s="6"/>
      <c r="O119" s="6"/>
      <c r="P119" s="6"/>
      <c r="Q119" s="6"/>
      <c r="R119" s="6"/>
    </row>
    <row r="120" spans="1:26" ht="18" thickBot="1">
      <c r="A120" s="85" t="s">
        <v>323</v>
      </c>
      <c r="B120" s="491"/>
      <c r="E120" s="491"/>
      <c r="F120" s="7"/>
      <c r="G120" s="7"/>
      <c r="H120" s="7"/>
      <c r="I120" s="7"/>
      <c r="J120" s="7"/>
      <c r="K120" s="7"/>
    </row>
    <row r="121" spans="1:26" ht="16.5" customHeight="1" thickBot="1">
      <c r="A121" s="6"/>
      <c r="B121" s="684" t="s">
        <v>324</v>
      </c>
      <c r="C121" s="686" t="s">
        <v>40</v>
      </c>
      <c r="D121" s="687"/>
      <c r="E121" s="686" t="s">
        <v>41</v>
      </c>
      <c r="F121" s="687"/>
      <c r="G121" s="686" t="s">
        <v>42</v>
      </c>
      <c r="H121" s="687"/>
      <c r="I121" s="686" t="s">
        <v>43</v>
      </c>
      <c r="J121" s="687"/>
      <c r="K121" s="682" t="s">
        <v>44</v>
      </c>
      <c r="L121" s="683"/>
      <c r="M121" s="682" t="s">
        <v>45</v>
      </c>
      <c r="N121" s="683"/>
      <c r="W121" s="6"/>
      <c r="X121" s="6"/>
      <c r="Y121" s="6"/>
      <c r="Z121" s="6"/>
    </row>
    <row r="122" spans="1:26" ht="16.5" thickBot="1">
      <c r="A122" s="6"/>
      <c r="B122" s="685"/>
      <c r="C122" s="298" t="s">
        <v>325</v>
      </c>
      <c r="D122" s="298" t="s">
        <v>326</v>
      </c>
      <c r="E122" s="297" t="s">
        <v>325</v>
      </c>
      <c r="F122" s="298" t="s">
        <v>326</v>
      </c>
      <c r="G122" s="297" t="s">
        <v>325</v>
      </c>
      <c r="H122" s="298" t="s">
        <v>326</v>
      </c>
      <c r="I122" s="297" t="s">
        <v>325</v>
      </c>
      <c r="J122" s="403" t="s">
        <v>326</v>
      </c>
      <c r="K122" s="296" t="s">
        <v>325</v>
      </c>
      <c r="L122" s="402" t="s">
        <v>326</v>
      </c>
      <c r="M122" s="296" t="s">
        <v>325</v>
      </c>
      <c r="N122" s="402" t="s">
        <v>326</v>
      </c>
      <c r="W122" s="6"/>
      <c r="X122" s="6"/>
      <c r="Y122" s="6"/>
      <c r="Z122" s="6"/>
    </row>
    <row r="123" spans="1:26">
      <c r="A123" s="6"/>
      <c r="B123" s="86" t="s">
        <v>96</v>
      </c>
      <c r="C123" s="555">
        <v>95.9</v>
      </c>
      <c r="D123" s="555">
        <v>4.0999999999999996</v>
      </c>
      <c r="E123" s="555">
        <v>96.45</v>
      </c>
      <c r="F123" s="556">
        <v>3.55</v>
      </c>
      <c r="G123" s="208">
        <v>95.8</v>
      </c>
      <c r="H123" s="209">
        <v>4.2</v>
      </c>
      <c r="I123" s="208">
        <v>96.8</v>
      </c>
      <c r="J123" s="352">
        <v>3.2</v>
      </c>
      <c r="K123" s="131">
        <v>93.6</v>
      </c>
      <c r="L123" s="140">
        <v>6.4</v>
      </c>
      <c r="M123" s="131">
        <v>93.7</v>
      </c>
      <c r="N123" s="131">
        <v>6.3</v>
      </c>
      <c r="W123" s="6"/>
      <c r="X123" s="6"/>
      <c r="Y123" s="6"/>
      <c r="Z123" s="6"/>
    </row>
    <row r="124" spans="1:26">
      <c r="A124" s="6"/>
      <c r="B124" s="93" t="s">
        <v>320</v>
      </c>
      <c r="C124" s="210">
        <v>96.7</v>
      </c>
      <c r="D124" s="211">
        <v>3.3</v>
      </c>
      <c r="E124" s="557">
        <v>97.41</v>
      </c>
      <c r="F124" s="558">
        <v>2.59</v>
      </c>
      <c r="G124" s="210">
        <v>96.7</v>
      </c>
      <c r="H124" s="211">
        <v>3.3</v>
      </c>
      <c r="I124" s="210">
        <v>97.4</v>
      </c>
      <c r="J124" s="353">
        <v>2.6</v>
      </c>
      <c r="K124" s="132">
        <v>95.7</v>
      </c>
      <c r="L124" s="141">
        <v>4.3</v>
      </c>
      <c r="M124" s="132">
        <v>95.8</v>
      </c>
      <c r="N124" s="132">
        <v>4.2</v>
      </c>
      <c r="W124" s="6"/>
      <c r="X124" s="6"/>
      <c r="Y124" s="6"/>
      <c r="Z124" s="6"/>
    </row>
    <row r="125" spans="1:26" ht="16.5" thickBot="1">
      <c r="A125" s="6"/>
      <c r="B125" s="94" t="s">
        <v>321</v>
      </c>
      <c r="C125" s="354">
        <v>93.7</v>
      </c>
      <c r="D125" s="541">
        <v>6.3</v>
      </c>
      <c r="E125" s="559">
        <v>93.43</v>
      </c>
      <c r="F125" s="541">
        <v>6.55</v>
      </c>
      <c r="G125" s="354">
        <v>92.9</v>
      </c>
      <c r="H125" s="355">
        <v>7.1</v>
      </c>
      <c r="I125" s="354">
        <v>94.8</v>
      </c>
      <c r="J125" s="356">
        <v>5.2</v>
      </c>
      <c r="K125" s="133">
        <v>86.4</v>
      </c>
      <c r="L125" s="142">
        <v>13.6</v>
      </c>
      <c r="M125" s="133">
        <v>87.1</v>
      </c>
      <c r="N125" s="133">
        <v>12.9</v>
      </c>
      <c r="W125" s="6"/>
      <c r="X125" s="6"/>
      <c r="Y125" s="6"/>
      <c r="Z125" s="6"/>
    </row>
    <row r="126" spans="1:26" ht="5.25" customHeight="1">
      <c r="A126" s="6"/>
      <c r="B126" s="39"/>
      <c r="C126" s="39"/>
      <c r="D126" s="34"/>
      <c r="E126" s="34"/>
      <c r="F126" s="34"/>
      <c r="G126" s="34"/>
      <c r="H126" s="34"/>
      <c r="I126" s="34"/>
      <c r="J126" s="6"/>
      <c r="K126" s="6"/>
      <c r="L126" s="6"/>
      <c r="M126" s="6"/>
      <c r="N126" s="6"/>
      <c r="O126" s="6"/>
      <c r="P126" s="6"/>
      <c r="Q126" s="6"/>
      <c r="R126" s="6"/>
    </row>
    <row r="127" spans="1:26" ht="18" thickBot="1">
      <c r="A127" s="85" t="s">
        <v>327</v>
      </c>
      <c r="C127" s="537"/>
      <c r="D127" s="7"/>
      <c r="E127" s="7"/>
      <c r="F127" s="7"/>
      <c r="G127" s="7"/>
      <c r="H127" s="7"/>
      <c r="I127" s="7"/>
      <c r="K127" s="7"/>
    </row>
    <row r="128" spans="1:26" ht="16.5" customHeight="1" thickBot="1">
      <c r="A128" s="6"/>
      <c r="B128" s="692" t="s">
        <v>324</v>
      </c>
      <c r="C128" s="686" t="s">
        <v>40</v>
      </c>
      <c r="D128" s="687"/>
      <c r="E128" s="696" t="s">
        <v>41</v>
      </c>
      <c r="F128" s="695"/>
      <c r="G128" s="694" t="s">
        <v>42</v>
      </c>
      <c r="H128" s="695"/>
      <c r="I128" s="694" t="s">
        <v>43</v>
      </c>
      <c r="J128" s="695"/>
      <c r="K128" s="682" t="s">
        <v>44</v>
      </c>
      <c r="L128" s="683"/>
      <c r="M128" s="682" t="s">
        <v>45</v>
      </c>
      <c r="N128" s="683"/>
      <c r="W128" s="6"/>
      <c r="X128" s="6"/>
      <c r="Y128" s="6"/>
      <c r="Z128" s="6"/>
    </row>
    <row r="129" spans="1:26" ht="16.5" thickBot="1">
      <c r="A129" s="6"/>
      <c r="B129" s="693"/>
      <c r="C129" s="600" t="s">
        <v>325</v>
      </c>
      <c r="D129" s="403" t="s">
        <v>326</v>
      </c>
      <c r="E129" s="599" t="s">
        <v>328</v>
      </c>
      <c r="F129" s="300" t="s">
        <v>329</v>
      </c>
      <c r="G129" s="299" t="s">
        <v>328</v>
      </c>
      <c r="H129" s="300" t="s">
        <v>329</v>
      </c>
      <c r="I129" s="299" t="s">
        <v>328</v>
      </c>
      <c r="J129" s="300" t="s">
        <v>329</v>
      </c>
      <c r="K129" s="402" t="s">
        <v>325</v>
      </c>
      <c r="L129" s="402" t="s">
        <v>326</v>
      </c>
      <c r="M129" s="296" t="s">
        <v>325</v>
      </c>
      <c r="N129" s="402" t="s">
        <v>326</v>
      </c>
      <c r="W129" s="6"/>
      <c r="X129" s="6"/>
      <c r="Y129" s="6"/>
      <c r="Z129" s="6"/>
    </row>
    <row r="130" spans="1:26">
      <c r="A130" s="6"/>
      <c r="B130" s="98" t="s">
        <v>96</v>
      </c>
      <c r="C130" s="208">
        <v>98.4</v>
      </c>
      <c r="D130" s="209">
        <v>1.6</v>
      </c>
      <c r="E130" s="208">
        <v>98.4</v>
      </c>
      <c r="F130" s="209">
        <v>1.6</v>
      </c>
      <c r="G130" s="208">
        <v>98.4</v>
      </c>
      <c r="H130" s="209">
        <v>1.6</v>
      </c>
      <c r="I130" s="212">
        <v>98.4</v>
      </c>
      <c r="J130" s="357">
        <v>1.6</v>
      </c>
      <c r="K130" s="140">
        <v>98.4</v>
      </c>
      <c r="L130" s="134">
        <v>1.6</v>
      </c>
      <c r="M130" s="131">
        <v>98.2</v>
      </c>
      <c r="N130" s="596">
        <v>1.8</v>
      </c>
      <c r="W130" s="6"/>
      <c r="X130" s="6"/>
      <c r="Y130" s="6"/>
      <c r="Z130" s="6"/>
    </row>
    <row r="131" spans="1:26">
      <c r="A131" s="6"/>
      <c r="B131" s="95" t="s">
        <v>320</v>
      </c>
      <c r="C131" s="210">
        <v>99.4</v>
      </c>
      <c r="D131" s="211">
        <v>0.6</v>
      </c>
      <c r="E131" s="210">
        <v>99.4</v>
      </c>
      <c r="F131" s="211">
        <v>0.6</v>
      </c>
      <c r="G131" s="210">
        <v>99.4</v>
      </c>
      <c r="H131" s="211">
        <v>0.6</v>
      </c>
      <c r="I131" s="213">
        <v>99.5</v>
      </c>
      <c r="J131" s="358">
        <v>0.5</v>
      </c>
      <c r="K131" s="141">
        <v>99.5</v>
      </c>
      <c r="L131" s="135">
        <v>0.5</v>
      </c>
      <c r="M131" s="132">
        <v>99.5</v>
      </c>
      <c r="N131" s="597">
        <v>0.5</v>
      </c>
      <c r="W131" s="6"/>
      <c r="X131" s="6"/>
      <c r="Y131" s="6"/>
      <c r="Z131" s="6"/>
    </row>
    <row r="132" spans="1:26" ht="16.5" thickBot="1">
      <c r="A132" s="6"/>
      <c r="B132" s="96" t="s">
        <v>321</v>
      </c>
      <c r="C132" s="354">
        <v>95.5</v>
      </c>
      <c r="D132" s="541">
        <v>4.5</v>
      </c>
      <c r="E132" s="354">
        <v>95.2</v>
      </c>
      <c r="F132" s="541">
        <v>4.8</v>
      </c>
      <c r="G132" s="354">
        <v>95</v>
      </c>
      <c r="H132" s="541">
        <v>5</v>
      </c>
      <c r="I132" s="359">
        <v>94.6</v>
      </c>
      <c r="J132" s="360">
        <v>5.4</v>
      </c>
      <c r="K132" s="142">
        <v>94.7</v>
      </c>
      <c r="L132" s="136">
        <v>5.3</v>
      </c>
      <c r="M132" s="133">
        <v>93.9</v>
      </c>
      <c r="N132" s="598">
        <v>6.1</v>
      </c>
      <c r="W132" s="6"/>
      <c r="X132" s="6"/>
      <c r="Y132" s="6"/>
      <c r="Z132" s="6"/>
    </row>
    <row r="133" spans="1:26" ht="5.25" customHeight="1">
      <c r="A133" s="6"/>
      <c r="B133" s="39"/>
      <c r="C133" s="39"/>
      <c r="D133" s="34"/>
      <c r="E133" s="34"/>
      <c r="F133" s="34"/>
      <c r="G133" s="34"/>
      <c r="H133" s="34"/>
      <c r="I133" s="34"/>
      <c r="J133" s="6"/>
      <c r="K133" s="6"/>
      <c r="L133" s="6"/>
      <c r="M133" s="6"/>
    </row>
    <row r="134" spans="1:26" ht="18" thickBot="1">
      <c r="A134" s="2" t="s">
        <v>330</v>
      </c>
      <c r="C134" s="85"/>
      <c r="D134" s="7"/>
      <c r="E134" s="7"/>
      <c r="F134" s="7"/>
      <c r="G134" s="7"/>
      <c r="H134" s="7"/>
      <c r="I134" s="7"/>
      <c r="K134" s="7"/>
    </row>
    <row r="135" spans="1:26" ht="29.25" thickBot="1">
      <c r="A135" s="6"/>
      <c r="B135" s="291" t="s">
        <v>91</v>
      </c>
      <c r="C135" s="291" t="s">
        <v>50</v>
      </c>
      <c r="D135" s="301" t="s">
        <v>331</v>
      </c>
      <c r="E135" s="301" t="s">
        <v>332</v>
      </c>
      <c r="F135" s="301" t="s">
        <v>333</v>
      </c>
      <c r="G135" s="538" t="s">
        <v>334</v>
      </c>
      <c r="H135" s="301" t="s">
        <v>335</v>
      </c>
      <c r="I135" s="538" t="s">
        <v>336</v>
      </c>
      <c r="J135" s="301" t="s">
        <v>337</v>
      </c>
      <c r="K135" s="538" t="s">
        <v>338</v>
      </c>
      <c r="L135" s="301" t="s">
        <v>339</v>
      </c>
      <c r="M135" s="6"/>
      <c r="O135" s="6"/>
      <c r="P135" s="6"/>
      <c r="Q135" s="6"/>
      <c r="R135" s="6"/>
    </row>
    <row r="136" spans="1:26">
      <c r="A136" s="6"/>
      <c r="B136" s="214" t="s">
        <v>40</v>
      </c>
      <c r="C136" s="214" t="s">
        <v>96</v>
      </c>
      <c r="D136" s="218">
        <v>0.1678</v>
      </c>
      <c r="E136" s="218">
        <v>0.1583</v>
      </c>
      <c r="F136" s="218">
        <v>0.16850000000000001</v>
      </c>
      <c r="G136" s="542">
        <v>0.1502</v>
      </c>
      <c r="H136" s="218">
        <v>0.1268</v>
      </c>
      <c r="I136" s="542">
        <v>0.1082</v>
      </c>
      <c r="J136" s="218">
        <v>6.9699999999999998E-2</v>
      </c>
      <c r="K136" s="542">
        <v>3.8600000000000002E-2</v>
      </c>
      <c r="L136" s="218">
        <v>0.11899999999999999</v>
      </c>
      <c r="M136" s="6"/>
      <c r="O136" s="6"/>
      <c r="P136" s="6"/>
      <c r="Q136" s="6"/>
      <c r="R136" s="6"/>
    </row>
    <row r="137" spans="1:26" ht="28.5">
      <c r="A137" s="6"/>
      <c r="B137" s="215"/>
      <c r="C137" s="72" t="s">
        <v>260</v>
      </c>
      <c r="D137" s="219">
        <v>0.192</v>
      </c>
      <c r="E137" s="219">
        <v>0.16400000000000001</v>
      </c>
      <c r="F137" s="219">
        <v>0.157</v>
      </c>
      <c r="G137" s="543">
        <v>0.14799999999999999</v>
      </c>
      <c r="H137" s="219">
        <v>0.12</v>
      </c>
      <c r="I137" s="543">
        <v>9.9000000000000005E-2</v>
      </c>
      <c r="J137" s="219">
        <v>6.6000000000000003E-2</v>
      </c>
      <c r="K137" s="543">
        <v>3.9E-2</v>
      </c>
      <c r="L137" s="219">
        <v>1.7000000000000001E-2</v>
      </c>
      <c r="M137" s="6"/>
      <c r="O137" s="6"/>
      <c r="P137" s="6"/>
      <c r="Q137" s="6"/>
      <c r="R137" s="6"/>
    </row>
    <row r="138" spans="1:26">
      <c r="A138" s="6"/>
      <c r="B138" s="215"/>
      <c r="C138" s="72" t="s">
        <v>261</v>
      </c>
      <c r="D138" s="219">
        <v>0.16200000000000001</v>
      </c>
      <c r="E138" s="219">
        <v>0.16</v>
      </c>
      <c r="F138" s="219">
        <v>0.17699999999999999</v>
      </c>
      <c r="G138" s="543">
        <v>0.14899999999999999</v>
      </c>
      <c r="H138" s="219">
        <v>0.13300000000000001</v>
      </c>
      <c r="I138" s="543">
        <v>0.112</v>
      </c>
      <c r="J138" s="219">
        <v>6.8000000000000005E-2</v>
      </c>
      <c r="K138" s="543">
        <v>3.4000000000000002E-2</v>
      </c>
      <c r="L138" s="219">
        <v>4.0000000000000001E-3</v>
      </c>
      <c r="M138" s="6"/>
      <c r="O138" s="6"/>
      <c r="P138" s="6"/>
      <c r="Q138" s="6"/>
      <c r="R138" s="6"/>
    </row>
    <row r="139" spans="1:26" ht="28.5">
      <c r="A139" s="6"/>
      <c r="B139" s="215"/>
      <c r="C139" s="72" t="s">
        <v>262</v>
      </c>
      <c r="D139" s="219">
        <v>0.122</v>
      </c>
      <c r="E139" s="219">
        <v>0.125</v>
      </c>
      <c r="F139" s="219">
        <v>0.16800000000000001</v>
      </c>
      <c r="G139" s="543">
        <v>0.16</v>
      </c>
      <c r="H139" s="219">
        <v>0.13</v>
      </c>
      <c r="I139" s="543">
        <v>0.128</v>
      </c>
      <c r="J139" s="219">
        <v>8.5999999999999993E-2</v>
      </c>
      <c r="K139" s="543">
        <v>5.6000000000000001E-2</v>
      </c>
      <c r="L139" s="219">
        <v>2.5000000000000001E-2</v>
      </c>
      <c r="M139" s="6"/>
      <c r="O139" s="6"/>
      <c r="P139" s="6"/>
      <c r="Q139" s="6"/>
      <c r="R139" s="6"/>
    </row>
    <row r="140" spans="1:26" ht="16.5" thickBot="1">
      <c r="A140" s="6"/>
      <c r="B140" s="216"/>
      <c r="C140" s="217" t="s">
        <v>102</v>
      </c>
      <c r="D140" s="220">
        <v>0.16300000000000001</v>
      </c>
      <c r="E140" s="220">
        <v>0.17699999999999999</v>
      </c>
      <c r="F140" s="220">
        <v>0.17100000000000001</v>
      </c>
      <c r="G140" s="544">
        <v>0.152</v>
      </c>
      <c r="H140" s="220">
        <v>0.12</v>
      </c>
      <c r="I140" s="544">
        <v>9.8000000000000004E-2</v>
      </c>
      <c r="J140" s="220">
        <v>7.0000000000000007E-2</v>
      </c>
      <c r="K140" s="544">
        <v>3.5000000000000003E-2</v>
      </c>
      <c r="L140" s="220">
        <v>1.4E-2</v>
      </c>
      <c r="M140" s="6"/>
      <c r="O140" s="6"/>
      <c r="P140" s="6"/>
      <c r="Q140" s="6"/>
      <c r="R140" s="6"/>
    </row>
    <row r="141" spans="1:26">
      <c r="A141" s="6"/>
      <c r="B141" s="214" t="s">
        <v>41</v>
      </c>
      <c r="C141" s="214" t="s">
        <v>96</v>
      </c>
      <c r="D141" s="218">
        <v>0.1694</v>
      </c>
      <c r="E141" s="218">
        <v>0.15970000000000001</v>
      </c>
      <c r="F141" s="218">
        <v>0.16900000000000001</v>
      </c>
      <c r="G141" s="542">
        <v>0.14899999999999999</v>
      </c>
      <c r="H141" s="218">
        <v>0.129</v>
      </c>
      <c r="I141" s="542">
        <v>0.106</v>
      </c>
      <c r="J141" s="218">
        <v>7.0999999999999994E-2</v>
      </c>
      <c r="K141" s="542">
        <v>3.5999999999999997E-2</v>
      </c>
      <c r="L141" s="218">
        <v>1.0999999999999999E-2</v>
      </c>
      <c r="M141" s="6"/>
      <c r="O141" s="6"/>
      <c r="P141" s="6"/>
      <c r="Q141" s="6"/>
      <c r="R141" s="6"/>
    </row>
    <row r="142" spans="1:26" ht="28.5">
      <c r="A142" s="6"/>
      <c r="B142" s="215"/>
      <c r="C142" s="72" t="s">
        <v>260</v>
      </c>
      <c r="D142" s="219">
        <v>0.19700000000000001</v>
      </c>
      <c r="E142" s="219">
        <v>0.156</v>
      </c>
      <c r="F142" s="219">
        <v>0.16400000000000001</v>
      </c>
      <c r="G142" s="543">
        <v>0.14299999999999999</v>
      </c>
      <c r="H142" s="219">
        <v>0.123</v>
      </c>
      <c r="I142" s="543">
        <v>9.7000000000000003E-2</v>
      </c>
      <c r="J142" s="219">
        <v>6.5000000000000002E-2</v>
      </c>
      <c r="K142" s="543">
        <v>3.7999999999999999E-2</v>
      </c>
      <c r="L142" s="219">
        <v>1.6E-2</v>
      </c>
      <c r="M142" s="6"/>
      <c r="O142" s="6"/>
      <c r="P142" s="6"/>
      <c r="Q142" s="6"/>
      <c r="R142" s="6"/>
    </row>
    <row r="143" spans="1:26">
      <c r="A143" s="6"/>
      <c r="B143" s="215"/>
      <c r="C143" s="72" t="s">
        <v>261</v>
      </c>
      <c r="D143" s="219">
        <v>0.159</v>
      </c>
      <c r="E143" s="219">
        <v>0.17299999999999999</v>
      </c>
      <c r="F143" s="219">
        <v>0.17199999999999999</v>
      </c>
      <c r="G143" s="543">
        <v>0.151</v>
      </c>
      <c r="H143" s="219">
        <v>0.129</v>
      </c>
      <c r="I143" s="543">
        <v>0.113</v>
      </c>
      <c r="J143" s="219">
        <v>7.0000000000000007E-2</v>
      </c>
      <c r="K143" s="543">
        <v>2.9000000000000001E-2</v>
      </c>
      <c r="L143" s="219">
        <v>3.0000000000000001E-3</v>
      </c>
      <c r="M143" s="6"/>
      <c r="O143" s="6"/>
      <c r="P143" s="6"/>
      <c r="Q143" s="6"/>
      <c r="R143" s="6"/>
    </row>
    <row r="144" spans="1:26" ht="28.5">
      <c r="A144" s="6"/>
      <c r="B144" s="215"/>
      <c r="C144" s="72" t="s">
        <v>262</v>
      </c>
      <c r="D144" s="219">
        <v>1.4E-2</v>
      </c>
      <c r="E144" s="219">
        <v>0.128</v>
      </c>
      <c r="F144" s="219">
        <v>0.17599999999999999</v>
      </c>
      <c r="G144" s="543">
        <v>0.159</v>
      </c>
      <c r="H144" s="219">
        <v>0.13900000000000001</v>
      </c>
      <c r="I144" s="543">
        <v>0.114</v>
      </c>
      <c r="J144" s="219">
        <v>8.6999999999999994E-2</v>
      </c>
      <c r="K144" s="543">
        <v>5.2999999999999999E-2</v>
      </c>
      <c r="L144" s="219">
        <v>1.9E-2</v>
      </c>
      <c r="M144" s="6"/>
      <c r="O144" s="6"/>
      <c r="P144" s="6"/>
      <c r="Q144" s="6"/>
      <c r="R144" s="6"/>
    </row>
    <row r="145" spans="1:18" ht="16.5" thickBot="1">
      <c r="A145" s="6"/>
      <c r="B145" s="216"/>
      <c r="C145" s="217" t="s">
        <v>102</v>
      </c>
      <c r="D145" s="220">
        <v>0.17100000000000001</v>
      </c>
      <c r="E145" s="220">
        <v>0.156</v>
      </c>
      <c r="F145" s="220">
        <v>0.159</v>
      </c>
      <c r="G145" s="544">
        <v>0.14499999999999999</v>
      </c>
      <c r="H145" s="220">
        <v>0.14099999999999999</v>
      </c>
      <c r="I145" s="544">
        <v>9.9000000000000005E-2</v>
      </c>
      <c r="J145" s="220">
        <v>7.4999999999999997E-2</v>
      </c>
      <c r="K145" s="544">
        <v>3.5999999999999997E-2</v>
      </c>
      <c r="L145" s="220">
        <v>1.7999999999999999E-2</v>
      </c>
      <c r="M145" s="6"/>
      <c r="O145" s="6"/>
      <c r="P145" s="6"/>
      <c r="Q145" s="6"/>
      <c r="R145" s="6"/>
    </row>
    <row r="146" spans="1:18" ht="29.25" thickBot="1">
      <c r="A146" s="6"/>
      <c r="B146" s="539" t="s">
        <v>91</v>
      </c>
      <c r="C146" s="539" t="s">
        <v>50</v>
      </c>
      <c r="D146" s="538" t="s">
        <v>331</v>
      </c>
      <c r="E146" s="538" t="s">
        <v>332</v>
      </c>
      <c r="F146" s="538" t="s">
        <v>340</v>
      </c>
      <c r="G146" s="538" t="s">
        <v>341</v>
      </c>
      <c r="H146" s="538" t="s">
        <v>342</v>
      </c>
      <c r="I146" s="538" t="s">
        <v>339</v>
      </c>
      <c r="J146" s="6"/>
      <c r="K146" s="6"/>
      <c r="L146" s="6"/>
      <c r="M146" s="6"/>
      <c r="O146" s="6"/>
      <c r="P146" s="6"/>
      <c r="Q146" s="6"/>
      <c r="R146" s="6"/>
    </row>
    <row r="147" spans="1:18">
      <c r="A147" s="6"/>
      <c r="B147" s="214" t="s">
        <v>42</v>
      </c>
      <c r="C147" s="214" t="s">
        <v>96</v>
      </c>
      <c r="D147" s="218">
        <v>0.1663</v>
      </c>
      <c r="E147" s="218">
        <v>0.16189999999999999</v>
      </c>
      <c r="F147" s="218">
        <v>0.3226</v>
      </c>
      <c r="G147" s="218">
        <v>0.2354</v>
      </c>
      <c r="H147" s="218">
        <v>0.1042</v>
      </c>
      <c r="I147" s="218">
        <v>9.7000000000000003E-3</v>
      </c>
      <c r="J147" s="6"/>
      <c r="K147" s="6"/>
      <c r="L147" s="6"/>
      <c r="M147" s="6"/>
      <c r="O147" s="6"/>
      <c r="P147" s="6"/>
      <c r="Q147" s="6"/>
      <c r="R147" s="6"/>
    </row>
    <row r="148" spans="1:18" ht="28.5">
      <c r="A148" s="6"/>
      <c r="B148" s="215"/>
      <c r="C148" s="72" t="s">
        <v>260</v>
      </c>
      <c r="D148" s="219">
        <v>0.40739999999999998</v>
      </c>
      <c r="E148" s="219">
        <v>0.38100000000000001</v>
      </c>
      <c r="F148" s="219">
        <v>0.7107</v>
      </c>
      <c r="G148" s="219">
        <v>0.35189999999999999</v>
      </c>
      <c r="H148" s="219">
        <v>0.12959999999999999</v>
      </c>
      <c r="I148" s="219">
        <v>1.9400000000000001E-2</v>
      </c>
      <c r="J148" s="6"/>
      <c r="K148" s="6"/>
      <c r="L148" s="6"/>
      <c r="M148" s="6"/>
      <c r="O148" s="6"/>
      <c r="P148" s="6"/>
      <c r="Q148" s="6"/>
      <c r="R148" s="6"/>
    </row>
    <row r="149" spans="1:18">
      <c r="A149" s="6"/>
      <c r="B149" s="215"/>
      <c r="C149" s="72" t="s">
        <v>261</v>
      </c>
      <c r="D149" s="219">
        <v>0.2676</v>
      </c>
      <c r="E149" s="219">
        <v>0.36890000000000001</v>
      </c>
      <c r="F149" s="219">
        <v>0.68889999999999996</v>
      </c>
      <c r="G149" s="219">
        <v>0.4798</v>
      </c>
      <c r="H149" s="219">
        <v>0.1885</v>
      </c>
      <c r="I149" s="219">
        <v>6.3E-3</v>
      </c>
      <c r="J149" s="6"/>
      <c r="K149" s="6"/>
      <c r="L149" s="6"/>
      <c r="M149" s="6"/>
      <c r="O149" s="6"/>
      <c r="P149" s="6"/>
      <c r="Q149" s="6"/>
      <c r="R149" s="6"/>
    </row>
    <row r="150" spans="1:18" ht="28.5">
      <c r="A150" s="6"/>
      <c r="B150" s="215"/>
      <c r="C150" s="72" t="s">
        <v>262</v>
      </c>
      <c r="D150" s="219">
        <v>0.14360000000000001</v>
      </c>
      <c r="E150" s="219">
        <v>0.125</v>
      </c>
      <c r="F150" s="219">
        <v>0.30449999999999999</v>
      </c>
      <c r="G150" s="219">
        <v>0.26860000000000001</v>
      </c>
      <c r="H150" s="219">
        <v>0.1416</v>
      </c>
      <c r="I150" s="219">
        <v>1.66E-2</v>
      </c>
      <c r="J150" s="6"/>
      <c r="K150" s="6"/>
      <c r="L150" s="6"/>
      <c r="M150" s="6"/>
      <c r="O150" s="6"/>
      <c r="P150" s="6"/>
      <c r="Q150" s="6"/>
      <c r="R150" s="6"/>
    </row>
    <row r="151" spans="1:18">
      <c r="A151" s="6"/>
      <c r="B151" s="216"/>
      <c r="C151" s="217" t="s">
        <v>102</v>
      </c>
      <c r="D151" s="220">
        <v>0.1381</v>
      </c>
      <c r="E151" s="220">
        <v>0.14860000000000001</v>
      </c>
      <c r="F151" s="220">
        <v>0.31119999999999998</v>
      </c>
      <c r="G151" s="220">
        <v>0.2727</v>
      </c>
      <c r="H151" s="220">
        <v>0.1119</v>
      </c>
      <c r="I151" s="220">
        <v>1.7500000000000002E-2</v>
      </c>
      <c r="J151" s="6"/>
      <c r="K151" s="6"/>
      <c r="L151" s="6"/>
      <c r="M151" s="6"/>
      <c r="O151" s="6"/>
      <c r="P151" s="6"/>
      <c r="Q151" s="6"/>
      <c r="R151" s="6"/>
    </row>
    <row r="152" spans="1:18">
      <c r="A152" s="6"/>
      <c r="B152" s="214" t="s">
        <v>43</v>
      </c>
      <c r="C152" s="214" t="s">
        <v>96</v>
      </c>
      <c r="D152" s="218">
        <v>0.186</v>
      </c>
      <c r="E152" s="218">
        <v>0.16900000000000001</v>
      </c>
      <c r="F152" s="218">
        <v>0.318</v>
      </c>
      <c r="G152" s="218">
        <v>0.222</v>
      </c>
      <c r="H152" s="218">
        <v>9.6000000000000002E-2</v>
      </c>
      <c r="I152" s="218">
        <v>8.9999999999999993E-3</v>
      </c>
      <c r="J152" s="6"/>
      <c r="K152" s="6"/>
      <c r="L152" s="6"/>
      <c r="M152" s="6"/>
      <c r="O152" s="6"/>
      <c r="P152" s="6"/>
      <c r="Q152" s="6"/>
      <c r="R152" s="6"/>
    </row>
    <row r="153" spans="1:18" ht="28.5">
      <c r="A153" s="6"/>
      <c r="B153" s="215"/>
      <c r="C153" s="72" t="s">
        <v>260</v>
      </c>
      <c r="D153" s="219">
        <v>0.224</v>
      </c>
      <c r="E153" s="219">
        <v>0.16600000000000001</v>
      </c>
      <c r="F153" s="219">
        <v>0.307</v>
      </c>
      <c r="G153" s="219">
        <v>0.2</v>
      </c>
      <c r="H153" s="219">
        <v>9.1999999999999998E-2</v>
      </c>
      <c r="I153" s="219">
        <v>0.01</v>
      </c>
      <c r="J153" s="6"/>
      <c r="K153" s="6"/>
      <c r="L153" s="6"/>
      <c r="M153" s="6"/>
      <c r="O153" s="6"/>
      <c r="P153" s="6"/>
      <c r="Q153" s="6"/>
      <c r="R153" s="6"/>
    </row>
    <row r="154" spans="1:18">
      <c r="A154" s="6"/>
      <c r="B154" s="215"/>
      <c r="C154" s="72" t="s">
        <v>261</v>
      </c>
      <c r="D154" s="219">
        <v>0.17299999999999999</v>
      </c>
      <c r="E154" s="219">
        <v>0.183</v>
      </c>
      <c r="F154" s="219">
        <v>0.32600000000000001</v>
      </c>
      <c r="G154" s="219">
        <v>0.22700000000000001</v>
      </c>
      <c r="H154" s="219">
        <v>8.6999999999999994E-2</v>
      </c>
      <c r="I154" s="219">
        <v>3.0000000000000001E-3</v>
      </c>
      <c r="J154" s="6"/>
      <c r="K154" s="6"/>
      <c r="L154" s="6"/>
      <c r="M154" s="6"/>
      <c r="O154" s="6"/>
      <c r="P154" s="6"/>
      <c r="Q154" s="6"/>
      <c r="R154" s="6"/>
    </row>
    <row r="155" spans="1:18" ht="28.5">
      <c r="A155" s="6"/>
      <c r="B155" s="215"/>
      <c r="C155" s="72" t="s">
        <v>262</v>
      </c>
      <c r="D155" s="219">
        <v>0.1356</v>
      </c>
      <c r="E155" s="219">
        <v>0.14000000000000001</v>
      </c>
      <c r="F155" s="219">
        <v>0.3221</v>
      </c>
      <c r="G155" s="219">
        <v>0.25459999999999999</v>
      </c>
      <c r="H155" s="219">
        <v>0.1273</v>
      </c>
      <c r="I155" s="219">
        <v>2.0400000000000001E-2</v>
      </c>
      <c r="J155" s="6"/>
      <c r="K155" s="6"/>
      <c r="L155" s="6"/>
      <c r="M155" s="6"/>
      <c r="O155" s="6"/>
      <c r="P155" s="6"/>
      <c r="Q155" s="6"/>
      <c r="R155" s="6"/>
    </row>
    <row r="156" spans="1:18" ht="16.5" thickBot="1">
      <c r="A156" s="6"/>
      <c r="B156" s="216"/>
      <c r="C156" s="217" t="s">
        <v>102</v>
      </c>
      <c r="D156" s="220">
        <v>0.13850000000000001</v>
      </c>
      <c r="E156" s="220">
        <v>0.14030000000000001</v>
      </c>
      <c r="F156" s="220">
        <v>0.32550000000000001</v>
      </c>
      <c r="G156" s="220">
        <v>0.25719999999999998</v>
      </c>
      <c r="H156" s="220">
        <v>0.12230000000000001</v>
      </c>
      <c r="I156" s="220">
        <v>1.6199999999999999E-2</v>
      </c>
      <c r="J156" s="6"/>
      <c r="K156" s="6"/>
      <c r="L156" s="6"/>
      <c r="M156" s="6"/>
      <c r="O156" s="6"/>
      <c r="P156" s="6"/>
      <c r="Q156" s="6"/>
      <c r="R156" s="6"/>
    </row>
    <row r="157" spans="1:18">
      <c r="A157" s="6"/>
      <c r="B157" s="90" t="s">
        <v>103</v>
      </c>
      <c r="C157" s="90" t="s">
        <v>96</v>
      </c>
      <c r="D157" s="143">
        <v>0.20699999999999999</v>
      </c>
      <c r="E157" s="143">
        <v>0.16800000000000001</v>
      </c>
      <c r="F157" s="143">
        <v>0.311</v>
      </c>
      <c r="G157" s="143">
        <v>0.216</v>
      </c>
      <c r="H157" s="143">
        <v>9.0999999999999998E-2</v>
      </c>
      <c r="I157" s="143">
        <v>8.0000000000000002E-3</v>
      </c>
      <c r="J157" s="6"/>
      <c r="K157" s="6"/>
      <c r="L157" s="6"/>
      <c r="M157" s="6"/>
      <c r="O157" s="6"/>
      <c r="P157" s="6"/>
      <c r="Q157" s="6"/>
      <c r="R157" s="6"/>
    </row>
    <row r="158" spans="1:18" ht="28.5">
      <c r="A158" s="6"/>
      <c r="B158" s="86" t="s">
        <v>104</v>
      </c>
      <c r="C158" s="72" t="s">
        <v>260</v>
      </c>
      <c r="D158" s="144">
        <v>0.23200000000000001</v>
      </c>
      <c r="E158" s="144">
        <v>0.161</v>
      </c>
      <c r="F158" s="144">
        <v>0.30099999999999999</v>
      </c>
      <c r="G158" s="144">
        <v>0.20599999999999999</v>
      </c>
      <c r="H158" s="144">
        <v>9.0999999999999998E-2</v>
      </c>
      <c r="I158" s="144">
        <v>8.9999999999999993E-3</v>
      </c>
      <c r="J158" s="6"/>
      <c r="K158" s="6"/>
      <c r="L158" s="6"/>
      <c r="M158" s="6"/>
      <c r="O158" s="6"/>
      <c r="P158" s="6"/>
      <c r="Q158" s="6"/>
      <c r="R158" s="6"/>
    </row>
    <row r="159" spans="1:18">
      <c r="A159" s="6"/>
      <c r="B159" s="86"/>
      <c r="C159" s="72" t="s">
        <v>261</v>
      </c>
      <c r="D159" s="144">
        <v>0.21099999999999999</v>
      </c>
      <c r="E159" s="144">
        <v>0.18099999999999999</v>
      </c>
      <c r="F159" s="144">
        <v>0.314</v>
      </c>
      <c r="G159" s="144">
        <v>0.21</v>
      </c>
      <c r="H159" s="144">
        <v>0.08</v>
      </c>
      <c r="I159" s="144">
        <v>3.0000000000000001E-3</v>
      </c>
      <c r="J159" s="6"/>
      <c r="K159" s="6"/>
      <c r="L159" s="6"/>
      <c r="M159" s="6"/>
      <c r="O159" s="6"/>
      <c r="P159" s="6"/>
      <c r="Q159" s="6"/>
      <c r="R159" s="6"/>
    </row>
    <row r="160" spans="1:18" ht="28.5">
      <c r="A160" s="6"/>
      <c r="B160" s="86"/>
      <c r="C160" s="72" t="s">
        <v>262</v>
      </c>
      <c r="D160" s="144">
        <v>0.14799999999999999</v>
      </c>
      <c r="E160" s="144">
        <v>0.152</v>
      </c>
      <c r="F160" s="144">
        <v>0.312</v>
      </c>
      <c r="G160" s="144">
        <v>0.246</v>
      </c>
      <c r="H160" s="144">
        <v>0.122</v>
      </c>
      <c r="I160" s="144">
        <v>0.02</v>
      </c>
      <c r="J160" s="6"/>
      <c r="K160" s="6"/>
      <c r="L160" s="6"/>
      <c r="M160" s="6"/>
      <c r="O160" s="6"/>
      <c r="P160" s="6"/>
      <c r="Q160" s="6"/>
      <c r="R160" s="6"/>
    </row>
    <row r="161" spans="1:21">
      <c r="A161" s="6"/>
      <c r="B161" s="86"/>
      <c r="C161" s="93" t="s">
        <v>101</v>
      </c>
      <c r="D161" s="168" t="s">
        <v>76</v>
      </c>
      <c r="E161" s="168" t="s">
        <v>76</v>
      </c>
      <c r="F161" s="168" t="s">
        <v>76</v>
      </c>
      <c r="G161" s="168" t="s">
        <v>76</v>
      </c>
      <c r="H161" s="168" t="s">
        <v>76</v>
      </c>
      <c r="I161" s="168" t="s">
        <v>76</v>
      </c>
      <c r="J161" s="6"/>
      <c r="K161" s="6"/>
      <c r="L161" s="6"/>
      <c r="M161" s="6"/>
      <c r="O161" s="6"/>
      <c r="P161" s="6"/>
      <c r="Q161" s="6"/>
      <c r="R161" s="6"/>
    </row>
    <row r="162" spans="1:21" ht="16.5" thickBot="1">
      <c r="A162" s="6"/>
      <c r="B162" s="92"/>
      <c r="C162" s="94" t="s">
        <v>102</v>
      </c>
      <c r="D162" s="145">
        <v>0.158</v>
      </c>
      <c r="E162" s="145">
        <v>0.13300000000000001</v>
      </c>
      <c r="F162" s="145">
        <v>0.34399999999999997</v>
      </c>
      <c r="G162" s="145">
        <v>0.246</v>
      </c>
      <c r="H162" s="145">
        <v>0.111</v>
      </c>
      <c r="I162" s="145">
        <v>8.9999999999999993E-3</v>
      </c>
      <c r="J162" s="6"/>
      <c r="K162" s="6"/>
      <c r="L162" s="6"/>
      <c r="M162" s="6"/>
      <c r="O162" s="6"/>
      <c r="P162" s="6"/>
      <c r="Q162" s="6"/>
      <c r="R162" s="6"/>
    </row>
    <row r="163" spans="1:21">
      <c r="A163" s="6"/>
      <c r="B163" s="90" t="s">
        <v>103</v>
      </c>
      <c r="C163" s="90" t="s">
        <v>96</v>
      </c>
      <c r="D163" s="143">
        <v>0.20899999999999999</v>
      </c>
      <c r="E163" s="143">
        <v>0.16700000000000001</v>
      </c>
      <c r="F163" s="143">
        <v>0.309</v>
      </c>
      <c r="G163" s="143">
        <v>0.215</v>
      </c>
      <c r="H163" s="143">
        <v>9.1999999999999998E-2</v>
      </c>
      <c r="I163" s="143">
        <v>8.0000000000000002E-3</v>
      </c>
      <c r="J163" s="6"/>
      <c r="K163" s="6"/>
      <c r="L163" s="6"/>
      <c r="M163" s="6"/>
      <c r="O163" s="6"/>
      <c r="P163" s="6"/>
      <c r="Q163" s="6"/>
      <c r="R163" s="6"/>
    </row>
    <row r="164" spans="1:21" ht="28.5">
      <c r="A164" s="6"/>
      <c r="B164" s="86" t="s">
        <v>199</v>
      </c>
      <c r="C164" s="72" t="s">
        <v>260</v>
      </c>
      <c r="D164" s="144">
        <v>0.23200000000000001</v>
      </c>
      <c r="E164" s="144">
        <v>0.161</v>
      </c>
      <c r="F164" s="144">
        <v>0.30099999999999999</v>
      </c>
      <c r="G164" s="144">
        <v>0.20599999999999999</v>
      </c>
      <c r="H164" s="144">
        <v>9.0999999999999998E-2</v>
      </c>
      <c r="I164" s="144">
        <v>8.9999999999999993E-3</v>
      </c>
      <c r="J164" s="6"/>
      <c r="K164" s="6"/>
      <c r="L164" s="6"/>
      <c r="M164" s="6"/>
      <c r="O164" s="6"/>
      <c r="P164" s="6"/>
      <c r="Q164" s="6"/>
      <c r="R164" s="6"/>
    </row>
    <row r="165" spans="1:21">
      <c r="A165" s="6"/>
      <c r="B165" s="86"/>
      <c r="C165" s="72" t="s">
        <v>261</v>
      </c>
      <c r="D165" s="144">
        <v>0.21099999999999999</v>
      </c>
      <c r="E165" s="144">
        <v>0.18099999999999999</v>
      </c>
      <c r="F165" s="144">
        <v>0.314</v>
      </c>
      <c r="G165" s="144">
        <v>0.21</v>
      </c>
      <c r="H165" s="144">
        <v>0.08</v>
      </c>
      <c r="I165" s="144">
        <v>3.0000000000000001E-3</v>
      </c>
      <c r="J165" s="6"/>
      <c r="K165" s="6"/>
      <c r="L165" s="6"/>
      <c r="M165" s="6"/>
      <c r="O165" s="6"/>
      <c r="P165" s="6"/>
      <c r="Q165" s="6"/>
      <c r="R165" s="6"/>
    </row>
    <row r="166" spans="1:21" ht="28.5">
      <c r="A166" s="6"/>
      <c r="B166" s="86"/>
      <c r="C166" s="72" t="s">
        <v>262</v>
      </c>
      <c r="D166" s="144">
        <v>0.14799999999999999</v>
      </c>
      <c r="E166" s="144">
        <v>0.152</v>
      </c>
      <c r="F166" s="144">
        <v>0.312</v>
      </c>
      <c r="G166" s="144">
        <v>0.246</v>
      </c>
      <c r="H166" s="144">
        <v>0.122</v>
      </c>
      <c r="I166" s="144">
        <v>0.02</v>
      </c>
      <c r="J166" s="6"/>
      <c r="K166" s="6"/>
      <c r="L166" s="6"/>
      <c r="M166" s="6"/>
      <c r="O166" s="6"/>
      <c r="P166" s="6"/>
      <c r="Q166" s="6"/>
      <c r="R166" s="6"/>
    </row>
    <row r="167" spans="1:21">
      <c r="A167" s="6"/>
      <c r="B167" s="86"/>
      <c r="C167" s="93" t="s">
        <v>101</v>
      </c>
      <c r="D167" s="144">
        <v>0.22800000000000001</v>
      </c>
      <c r="E167" s="144">
        <v>0.16300000000000001</v>
      </c>
      <c r="F167" s="144">
        <v>0.28999999999999998</v>
      </c>
      <c r="G167" s="144">
        <v>0.20300000000000001</v>
      </c>
      <c r="H167" s="144">
        <v>0.1</v>
      </c>
      <c r="I167" s="144">
        <v>1.4999999999999999E-2</v>
      </c>
      <c r="J167" s="6"/>
      <c r="K167" s="6"/>
      <c r="L167" s="6"/>
      <c r="M167" s="6"/>
      <c r="O167" s="6"/>
      <c r="P167" s="6"/>
      <c r="Q167" s="6"/>
      <c r="R167" s="6"/>
    </row>
    <row r="168" spans="1:21" ht="16.5" thickBot="1">
      <c r="A168" s="6"/>
      <c r="B168" s="92"/>
      <c r="C168" s="94" t="s">
        <v>102</v>
      </c>
      <c r="D168" s="145">
        <v>0.158</v>
      </c>
      <c r="E168" s="145">
        <v>0.13300000000000001</v>
      </c>
      <c r="F168" s="145">
        <v>0.34399999999999997</v>
      </c>
      <c r="G168" s="145">
        <v>0.246</v>
      </c>
      <c r="H168" s="145">
        <v>0.111</v>
      </c>
      <c r="I168" s="145">
        <v>8.9999999999999993E-3</v>
      </c>
      <c r="J168" s="6"/>
      <c r="K168" s="565" t="s">
        <v>60</v>
      </c>
      <c r="L168" s="6"/>
      <c r="M168" s="6"/>
      <c r="O168" s="6"/>
      <c r="P168" s="6"/>
      <c r="Q168" s="6"/>
      <c r="R168" s="6"/>
    </row>
    <row r="169" spans="1:21" ht="5.25" customHeight="1">
      <c r="A169" s="6"/>
      <c r="B169" s="36"/>
      <c r="C169" s="36"/>
      <c r="D169" s="34"/>
      <c r="E169" s="34"/>
      <c r="F169" s="34"/>
      <c r="G169" s="34"/>
      <c r="H169" s="34"/>
      <c r="I169" s="34"/>
      <c r="J169" s="6"/>
      <c r="K169" s="6"/>
      <c r="L169" s="6"/>
      <c r="M169" s="6"/>
      <c r="N169" s="6"/>
      <c r="O169" s="6"/>
      <c r="P169" s="6"/>
      <c r="Q169" s="6"/>
      <c r="R169" s="6"/>
    </row>
    <row r="170" spans="1:21" ht="18" thickBot="1">
      <c r="A170" s="85" t="s">
        <v>235</v>
      </c>
      <c r="C170" s="85"/>
      <c r="D170" s="7"/>
      <c r="E170" s="7"/>
      <c r="F170" s="7"/>
      <c r="G170" s="7"/>
      <c r="H170" s="7"/>
      <c r="I170" s="7"/>
      <c r="K170" s="7"/>
    </row>
    <row r="171" spans="1:21" ht="17.25">
      <c r="A171" s="6"/>
      <c r="B171" s="388" t="s">
        <v>343</v>
      </c>
      <c r="C171" s="388" t="s">
        <v>40</v>
      </c>
      <c r="D171" s="293" t="s">
        <v>41</v>
      </c>
      <c r="E171" s="293" t="s">
        <v>42</v>
      </c>
      <c r="F171" s="293" t="s">
        <v>43</v>
      </c>
      <c r="G171" s="388" t="s">
        <v>44</v>
      </c>
      <c r="H171" s="388" t="s">
        <v>45</v>
      </c>
      <c r="I171" s="7"/>
      <c r="L171" s="7"/>
      <c r="M171" s="6"/>
      <c r="N171" s="6"/>
      <c r="O171" s="6"/>
      <c r="P171" s="6"/>
      <c r="Q171" s="6"/>
      <c r="R171" s="6"/>
      <c r="S171" s="6"/>
      <c r="T171" s="6"/>
      <c r="U171" s="6"/>
    </row>
    <row r="172" spans="1:21" ht="17.25">
      <c r="A172" s="6"/>
      <c r="B172" s="86" t="s">
        <v>96</v>
      </c>
      <c r="C172" s="697" t="s">
        <v>344</v>
      </c>
      <c r="D172" s="221" t="s">
        <v>345</v>
      </c>
      <c r="E172" s="221" t="s">
        <v>346</v>
      </c>
      <c r="F172" s="221" t="s">
        <v>346</v>
      </c>
      <c r="G172" s="146" t="s">
        <v>347</v>
      </c>
      <c r="H172" s="146" t="s">
        <v>348</v>
      </c>
      <c r="I172" s="7"/>
      <c r="L172" s="7"/>
      <c r="M172" s="6"/>
      <c r="N172" s="6"/>
      <c r="O172" s="6"/>
      <c r="P172" s="6"/>
      <c r="Q172" s="6"/>
      <c r="R172" s="6"/>
      <c r="S172" s="6"/>
      <c r="T172" s="6"/>
      <c r="U172" s="6"/>
    </row>
    <row r="173" spans="1:21" ht="17.25">
      <c r="A173" s="6"/>
      <c r="B173" s="93" t="s">
        <v>349</v>
      </c>
      <c r="C173" s="697"/>
      <c r="D173" s="206" t="s">
        <v>350</v>
      </c>
      <c r="E173" s="206" t="s">
        <v>351</v>
      </c>
      <c r="F173" s="206" t="s">
        <v>352</v>
      </c>
      <c r="G173" s="129" t="s">
        <v>352</v>
      </c>
      <c r="H173" s="129" t="s">
        <v>346</v>
      </c>
      <c r="I173" s="7"/>
      <c r="L173" s="7"/>
      <c r="M173" s="6"/>
      <c r="N173" s="6"/>
      <c r="O173" s="6"/>
      <c r="P173" s="6"/>
      <c r="Q173" s="6"/>
      <c r="R173" s="6"/>
      <c r="S173" s="6"/>
      <c r="T173" s="6"/>
      <c r="U173" s="6"/>
    </row>
    <row r="174" spans="1:21" ht="18" thickBot="1">
      <c r="A174" s="6"/>
      <c r="B174" s="94" t="s">
        <v>353</v>
      </c>
      <c r="C174" s="698"/>
      <c r="D174" s="207" t="s">
        <v>354</v>
      </c>
      <c r="E174" s="207" t="s">
        <v>355</v>
      </c>
      <c r="F174" s="207" t="s">
        <v>356</v>
      </c>
      <c r="G174" s="130" t="s">
        <v>357</v>
      </c>
      <c r="H174" s="130" t="s">
        <v>358</v>
      </c>
      <c r="I174" s="7"/>
      <c r="L174" s="7"/>
      <c r="M174" s="6"/>
      <c r="N174" s="6"/>
      <c r="O174" s="6"/>
      <c r="P174" s="6"/>
      <c r="Q174" s="6"/>
      <c r="R174" s="6"/>
      <c r="S174" s="6"/>
      <c r="T174" s="6"/>
      <c r="U174" s="6"/>
    </row>
    <row r="175" spans="1:21" ht="5.25" customHeight="1">
      <c r="A175" s="6"/>
      <c r="B175" s="36"/>
      <c r="D175" s="36"/>
      <c r="E175" s="34"/>
      <c r="F175" s="34"/>
      <c r="G175" s="34"/>
      <c r="H175" s="34"/>
      <c r="I175" s="34"/>
      <c r="K175" s="7"/>
      <c r="L175" s="6"/>
      <c r="M175" s="6"/>
      <c r="N175" s="6"/>
      <c r="O175" s="6"/>
      <c r="P175" s="6"/>
      <c r="Q175" s="6"/>
      <c r="R175" s="6"/>
    </row>
    <row r="176" spans="1:21" ht="18" thickBot="1">
      <c r="A176" s="85" t="s">
        <v>359</v>
      </c>
      <c r="D176" s="85"/>
      <c r="E176" s="7"/>
      <c r="F176" s="7"/>
      <c r="G176" s="7"/>
      <c r="H176" s="7"/>
      <c r="I176" s="7"/>
      <c r="K176" s="7"/>
    </row>
    <row r="177" spans="1:21" ht="17.25">
      <c r="A177" s="52"/>
      <c r="B177" s="388" t="s">
        <v>324</v>
      </c>
      <c r="C177" s="388" t="s">
        <v>40</v>
      </c>
      <c r="D177" s="293" t="s">
        <v>41</v>
      </c>
      <c r="E177" s="293" t="s">
        <v>42</v>
      </c>
      <c r="F177" s="294" t="s">
        <v>43</v>
      </c>
      <c r="G177" s="388" t="s">
        <v>44</v>
      </c>
      <c r="H177" s="388" t="s">
        <v>45</v>
      </c>
      <c r="I177" s="7"/>
      <c r="L177" s="7"/>
      <c r="M177" s="6"/>
      <c r="Q177" s="6"/>
      <c r="R177" s="6"/>
      <c r="S177" s="6"/>
      <c r="T177" s="6"/>
      <c r="U177" s="6"/>
    </row>
    <row r="178" spans="1:21" ht="17.25">
      <c r="A178" s="52"/>
      <c r="B178" s="86" t="s">
        <v>96</v>
      </c>
      <c r="C178" s="606">
        <f>(289/12827)*100</f>
        <v>2.2530599516644578</v>
      </c>
      <c r="D178" s="221">
        <v>3.2</v>
      </c>
      <c r="E178" s="221">
        <v>1.3</v>
      </c>
      <c r="F178" s="222">
        <v>1.28</v>
      </c>
      <c r="G178" s="185">
        <f>234/12841*100</f>
        <v>1.8222879838018846</v>
      </c>
      <c r="H178" s="186">
        <f>231/11744*100</f>
        <v>1.9669618528610353</v>
      </c>
      <c r="I178" s="7"/>
      <c r="L178" s="7"/>
      <c r="M178" s="6"/>
      <c r="Q178" s="6"/>
      <c r="R178" s="6"/>
      <c r="S178" s="6"/>
      <c r="T178" s="6"/>
      <c r="U178" s="6"/>
    </row>
    <row r="179" spans="1:21" ht="17.25">
      <c r="A179" s="52"/>
      <c r="B179" s="93" t="s">
        <v>320</v>
      </c>
      <c r="C179" s="607">
        <f>(180/9445)*100</f>
        <v>1.9057702488088937</v>
      </c>
      <c r="D179" s="206">
        <v>2.8</v>
      </c>
      <c r="E179" s="206">
        <v>0.78</v>
      </c>
      <c r="F179" s="223">
        <v>0.56999999999999995</v>
      </c>
      <c r="G179" s="187">
        <f>127/9845*100</f>
        <v>1.2899949212798376</v>
      </c>
      <c r="H179" s="188">
        <f>127/9054*100</f>
        <v>1.4026949414623371</v>
      </c>
      <c r="I179" s="7"/>
      <c r="L179" s="7"/>
      <c r="M179" s="6"/>
      <c r="Q179" s="6"/>
      <c r="R179" s="6"/>
      <c r="S179" s="6"/>
      <c r="T179" s="6"/>
      <c r="U179" s="6"/>
    </row>
    <row r="180" spans="1:21" ht="18" thickBot="1">
      <c r="A180" s="52"/>
      <c r="B180" s="94" t="s">
        <v>321</v>
      </c>
      <c r="C180" s="608">
        <f>(109/3373)*100</f>
        <v>3.2315446190335018</v>
      </c>
      <c r="D180" s="207">
        <v>5.0999999999999996</v>
      </c>
      <c r="E180" s="207">
        <v>3.05</v>
      </c>
      <c r="F180" s="224">
        <v>3.76</v>
      </c>
      <c r="G180" s="189">
        <f>107/2996*100</f>
        <v>3.5714285714285712</v>
      </c>
      <c r="H180" s="190">
        <f>104/2690*100</f>
        <v>3.8661710037174721</v>
      </c>
      <c r="I180" s="7"/>
      <c r="L180" s="7"/>
      <c r="M180" s="6"/>
      <c r="Q180" s="6"/>
      <c r="R180" s="6"/>
      <c r="S180" s="6"/>
      <c r="T180" s="6"/>
      <c r="U180" s="6"/>
    </row>
    <row r="181" spans="1:21" ht="5.25" customHeight="1">
      <c r="A181" s="52"/>
      <c r="B181" s="36"/>
      <c r="D181" s="53"/>
      <c r="E181" s="34"/>
      <c r="F181" s="34"/>
      <c r="G181" s="34"/>
      <c r="H181" s="34"/>
      <c r="I181" s="34"/>
      <c r="K181" s="7"/>
      <c r="L181" s="6"/>
      <c r="N181" s="6"/>
      <c r="O181" s="6"/>
      <c r="P181" s="6"/>
      <c r="Q181" s="6"/>
      <c r="R181" s="6"/>
    </row>
    <row r="182" spans="1:21" ht="18" thickBot="1">
      <c r="A182" s="85" t="s">
        <v>360</v>
      </c>
      <c r="D182" s="85"/>
      <c r="E182" s="7"/>
      <c r="F182" s="7"/>
      <c r="G182" s="7"/>
      <c r="H182" s="7"/>
      <c r="I182" s="7"/>
      <c r="K182" s="7"/>
    </row>
    <row r="183" spans="1:21" ht="17.25">
      <c r="A183" s="52"/>
      <c r="B183" s="388" t="s">
        <v>324</v>
      </c>
      <c r="C183" s="388" t="s">
        <v>40</v>
      </c>
      <c r="D183" s="293" t="s">
        <v>41</v>
      </c>
      <c r="E183" s="293" t="s">
        <v>42</v>
      </c>
      <c r="F183" s="294" t="s">
        <v>43</v>
      </c>
      <c r="G183" s="388" t="s">
        <v>44</v>
      </c>
      <c r="H183" s="388" t="s">
        <v>45</v>
      </c>
      <c r="I183" s="7"/>
      <c r="L183" s="7"/>
      <c r="M183" s="6"/>
      <c r="N183" s="6"/>
      <c r="O183" s="6"/>
      <c r="Q183" s="6"/>
      <c r="R183" s="6"/>
      <c r="S183" s="6"/>
      <c r="T183" s="6"/>
      <c r="U183" s="6"/>
    </row>
    <row r="184" spans="1:21" ht="17.25">
      <c r="A184" s="52"/>
      <c r="B184" s="86" t="s">
        <v>96</v>
      </c>
      <c r="C184" s="609">
        <f>(210/289)*100</f>
        <v>72.664359861591691</v>
      </c>
      <c r="D184" s="221">
        <v>94.5</v>
      </c>
      <c r="E184" s="221">
        <v>129</v>
      </c>
      <c r="F184" s="225">
        <v>75.319999999999993</v>
      </c>
      <c r="G184" s="191">
        <f>95/234*100</f>
        <v>40.598290598290596</v>
      </c>
      <c r="H184" s="191">
        <f>95/231*100</f>
        <v>41.125541125541126</v>
      </c>
      <c r="I184" s="7"/>
      <c r="L184" s="7"/>
      <c r="N184" s="6"/>
      <c r="O184" s="6"/>
      <c r="P184" s="6"/>
      <c r="Q184" s="6"/>
      <c r="R184" s="6"/>
      <c r="S184" s="6"/>
      <c r="T184" s="6"/>
      <c r="U184" s="6"/>
    </row>
    <row r="185" spans="1:21" ht="17.25">
      <c r="A185" s="52"/>
      <c r="B185" s="93" t="s">
        <v>320</v>
      </c>
      <c r="C185" s="153">
        <f>(116/180)*100</f>
        <v>64.444444444444443</v>
      </c>
      <c r="D185" s="206">
        <v>87.4</v>
      </c>
      <c r="E185" s="206">
        <v>62</v>
      </c>
      <c r="F185" s="226">
        <v>77.36</v>
      </c>
      <c r="G185" s="192">
        <f>23/127*100</f>
        <v>18.110236220472441</v>
      </c>
      <c r="H185" s="192">
        <f>23/127*100</f>
        <v>18.110236220472441</v>
      </c>
      <c r="I185" s="7"/>
      <c r="L185" s="7"/>
      <c r="N185" s="6"/>
      <c r="O185" s="6"/>
      <c r="P185" s="6"/>
      <c r="Q185" s="6"/>
      <c r="R185" s="6"/>
      <c r="S185" s="6"/>
      <c r="T185" s="6"/>
      <c r="U185" s="6"/>
    </row>
    <row r="186" spans="1:21" ht="18" thickBot="1">
      <c r="A186" s="52"/>
      <c r="B186" s="94" t="s">
        <v>321</v>
      </c>
      <c r="C186" s="610">
        <f>(94/109)*100</f>
        <v>86.238532110091754</v>
      </c>
      <c r="D186" s="207">
        <v>97.4</v>
      </c>
      <c r="E186" s="207">
        <v>67</v>
      </c>
      <c r="F186" s="227">
        <v>74.260000000000005</v>
      </c>
      <c r="G186" s="193">
        <f>72/107*100</f>
        <v>67.289719626168221</v>
      </c>
      <c r="H186" s="193">
        <f>72/104*100</f>
        <v>69.230769230769226</v>
      </c>
      <c r="I186" s="7"/>
      <c r="L186" s="7"/>
      <c r="N186" s="6"/>
      <c r="O186" s="6"/>
      <c r="P186" s="6"/>
      <c r="Q186" s="6"/>
      <c r="R186" s="6"/>
      <c r="S186" s="6"/>
      <c r="T186" s="6"/>
      <c r="U186" s="6"/>
    </row>
    <row r="187" spans="1:21" ht="5.25" customHeight="1">
      <c r="A187" s="52"/>
      <c r="B187" s="36"/>
      <c r="D187" s="53"/>
      <c r="E187" s="34"/>
      <c r="F187" s="34"/>
      <c r="G187" s="34"/>
      <c r="H187" s="34"/>
      <c r="I187" s="34"/>
      <c r="K187" s="7"/>
      <c r="L187" s="6"/>
      <c r="N187" s="6"/>
      <c r="O187" s="6"/>
      <c r="P187" s="6"/>
      <c r="Q187" s="6"/>
      <c r="R187" s="6"/>
    </row>
    <row r="188" spans="1:21" ht="18" thickBot="1">
      <c r="A188" s="85" t="s">
        <v>361</v>
      </c>
      <c r="C188" s="85"/>
      <c r="D188" s="7"/>
      <c r="E188" s="7"/>
      <c r="F188" s="7"/>
      <c r="G188" s="7"/>
      <c r="H188" s="7"/>
      <c r="I188" s="7"/>
      <c r="K188" s="7"/>
    </row>
    <row r="189" spans="1:21" ht="17.25">
      <c r="A189" s="6"/>
      <c r="B189" s="388" t="s">
        <v>50</v>
      </c>
      <c r="C189" s="562" t="s">
        <v>40</v>
      </c>
      <c r="D189" s="562" t="s">
        <v>41</v>
      </c>
      <c r="E189" s="562" t="s">
        <v>42</v>
      </c>
      <c r="F189" s="562" t="s">
        <v>43</v>
      </c>
      <c r="G189" s="388" t="s">
        <v>44</v>
      </c>
      <c r="H189" s="388" t="s">
        <v>45</v>
      </c>
      <c r="I189" s="7"/>
      <c r="J189" s="6"/>
      <c r="K189" s="6"/>
      <c r="L189" s="6"/>
      <c r="O189" s="6"/>
      <c r="P189" s="6"/>
      <c r="Q189" s="6"/>
      <c r="R189" s="6"/>
      <c r="S189" s="6"/>
      <c r="T189" s="6"/>
    </row>
    <row r="190" spans="1:21" ht="17.25">
      <c r="A190" s="6"/>
      <c r="B190" s="86" t="s">
        <v>96</v>
      </c>
      <c r="C190" s="111">
        <v>17.88</v>
      </c>
      <c r="D190" s="230">
        <v>22</v>
      </c>
      <c r="E190" s="230">
        <v>19.48</v>
      </c>
      <c r="F190" s="230">
        <v>19.09</v>
      </c>
      <c r="G190" s="139">
        <v>21.3</v>
      </c>
      <c r="H190" s="139">
        <v>21.3</v>
      </c>
      <c r="I190" s="7"/>
      <c r="J190" s="6"/>
      <c r="K190" s="6"/>
      <c r="L190" s="6"/>
      <c r="O190" s="6"/>
      <c r="P190" s="6"/>
      <c r="Q190" s="6"/>
      <c r="R190" s="6"/>
      <c r="S190" s="6"/>
      <c r="T190" s="6"/>
    </row>
    <row r="191" spans="1:21" ht="17.25">
      <c r="A191" s="6"/>
      <c r="B191" s="72" t="s">
        <v>260</v>
      </c>
      <c r="C191" s="417">
        <v>32.36</v>
      </c>
      <c r="D191" s="228">
        <v>40</v>
      </c>
      <c r="E191" s="228">
        <v>50.39</v>
      </c>
      <c r="F191" s="228">
        <v>39.26</v>
      </c>
      <c r="G191" s="137">
        <v>43.3</v>
      </c>
      <c r="H191" s="137">
        <v>43.3</v>
      </c>
      <c r="I191" s="7"/>
      <c r="J191" s="6"/>
      <c r="K191" s="6"/>
      <c r="L191" s="6"/>
      <c r="O191" s="6"/>
      <c r="P191" s="6"/>
      <c r="Q191" s="6"/>
      <c r="R191" s="6"/>
      <c r="S191" s="6"/>
      <c r="T191" s="6"/>
    </row>
    <row r="192" spans="1:21" ht="17.25">
      <c r="A192" s="6"/>
      <c r="B192" s="72" t="s">
        <v>261</v>
      </c>
      <c r="C192" s="417">
        <v>7.74</v>
      </c>
      <c r="D192" s="228">
        <v>9.3000000000000007</v>
      </c>
      <c r="E192" s="228">
        <v>11.85</v>
      </c>
      <c r="F192" s="228">
        <v>6.21</v>
      </c>
      <c r="G192" s="137">
        <v>7.8</v>
      </c>
      <c r="H192" s="137">
        <v>7.8</v>
      </c>
      <c r="I192" s="7"/>
      <c r="J192" s="6"/>
      <c r="K192" s="6"/>
      <c r="L192" s="6"/>
      <c r="O192" s="6"/>
      <c r="P192" s="6"/>
      <c r="Q192" s="6"/>
      <c r="R192" s="6"/>
      <c r="S192" s="6"/>
      <c r="T192" s="6"/>
    </row>
    <row r="193" spans="1:20" ht="17.25">
      <c r="A193" s="6"/>
      <c r="B193" s="72" t="s">
        <v>262</v>
      </c>
      <c r="C193" s="417">
        <v>14.26</v>
      </c>
      <c r="D193" s="228">
        <v>16.600000000000001</v>
      </c>
      <c r="E193" s="228">
        <v>13.94</v>
      </c>
      <c r="F193" s="228">
        <v>9.81</v>
      </c>
      <c r="G193" s="137">
        <v>13.6</v>
      </c>
      <c r="H193" s="137">
        <v>13.6</v>
      </c>
      <c r="I193" s="7"/>
      <c r="J193" s="6"/>
      <c r="K193" s="6"/>
      <c r="L193" s="6"/>
      <c r="O193" s="6"/>
      <c r="P193" s="6"/>
      <c r="Q193" s="6"/>
      <c r="R193" s="6"/>
      <c r="S193" s="6"/>
      <c r="T193" s="6"/>
    </row>
    <row r="194" spans="1:20" ht="17.25">
      <c r="A194" s="6"/>
      <c r="B194" s="72" t="s">
        <v>263</v>
      </c>
      <c r="C194" s="417" t="s">
        <v>362</v>
      </c>
      <c r="D194" s="229" t="s">
        <v>76</v>
      </c>
      <c r="E194" s="229" t="s">
        <v>76</v>
      </c>
      <c r="F194" s="229" t="s">
        <v>76</v>
      </c>
      <c r="G194" s="168" t="s">
        <v>76</v>
      </c>
      <c r="H194" s="137">
        <v>17.8</v>
      </c>
      <c r="I194" s="7"/>
      <c r="J194" s="6"/>
      <c r="K194" s="6"/>
      <c r="L194" s="6"/>
      <c r="O194" s="6"/>
      <c r="P194" s="6"/>
      <c r="Q194" s="6"/>
      <c r="R194" s="6"/>
      <c r="S194" s="6"/>
      <c r="T194" s="6"/>
    </row>
    <row r="195" spans="1:20" ht="18" thickBot="1">
      <c r="A195" s="6"/>
      <c r="B195" s="563" t="s">
        <v>448</v>
      </c>
      <c r="C195" s="564">
        <v>9.6</v>
      </c>
      <c r="D195" s="564">
        <v>9.1999999999999993</v>
      </c>
      <c r="E195" s="564">
        <v>6.21</v>
      </c>
      <c r="F195" s="564">
        <v>9.35</v>
      </c>
      <c r="G195" s="138">
        <v>10.9</v>
      </c>
      <c r="H195" s="138">
        <v>10.9</v>
      </c>
      <c r="I195" s="7"/>
      <c r="J195" s="6"/>
      <c r="K195" s="565" t="s">
        <v>60</v>
      </c>
      <c r="L195" s="6"/>
      <c r="O195" s="6"/>
      <c r="P195" s="6"/>
      <c r="Q195" s="6"/>
      <c r="R195" s="6"/>
      <c r="S195" s="6"/>
      <c r="T195" s="6"/>
    </row>
    <row r="196" spans="1:20" ht="5.25" customHeight="1">
      <c r="A196" s="6"/>
      <c r="B196" s="34"/>
      <c r="D196" s="34"/>
      <c r="H196" s="6"/>
      <c r="I196" s="34"/>
      <c r="J196" s="6"/>
      <c r="K196" s="6"/>
      <c r="L196" s="6"/>
      <c r="O196" s="6"/>
      <c r="P196" s="6"/>
      <c r="Q196" s="6"/>
      <c r="R196" s="6"/>
      <c r="S196" s="6"/>
      <c r="T196" s="6"/>
    </row>
    <row r="197" spans="1:20" ht="18" thickBot="1">
      <c r="A197" s="85" t="s">
        <v>218</v>
      </c>
      <c r="C197" s="85"/>
      <c r="D197" s="7"/>
      <c r="E197" s="7"/>
      <c r="F197" s="7"/>
      <c r="G197" s="7"/>
      <c r="H197" s="7"/>
      <c r="I197" s="7"/>
      <c r="K197" s="7"/>
    </row>
    <row r="198" spans="1:20" ht="17.25">
      <c r="A198" s="6"/>
      <c r="B198" s="388" t="s">
        <v>50</v>
      </c>
      <c r="C198" s="293" t="s">
        <v>40</v>
      </c>
      <c r="D198" s="293" t="s">
        <v>41</v>
      </c>
      <c r="E198" s="293" t="s">
        <v>42</v>
      </c>
      <c r="F198" s="293" t="s">
        <v>43</v>
      </c>
      <c r="G198" s="388" t="s">
        <v>44</v>
      </c>
      <c r="H198" s="388" t="s">
        <v>45</v>
      </c>
      <c r="I198" s="7"/>
      <c r="J198" s="6"/>
      <c r="K198" s="6"/>
      <c r="L198" s="44"/>
      <c r="P198" s="6"/>
      <c r="Q198" s="6"/>
      <c r="R198" s="6"/>
      <c r="S198" s="6"/>
      <c r="T198" s="6"/>
    </row>
    <row r="199" spans="1:20" ht="17.25">
      <c r="A199" s="6"/>
      <c r="B199" s="86" t="s">
        <v>96</v>
      </c>
      <c r="C199" s="611">
        <v>4421</v>
      </c>
      <c r="D199" s="231">
        <v>3945</v>
      </c>
      <c r="E199" s="231">
        <v>3693</v>
      </c>
      <c r="F199" s="231">
        <v>4131</v>
      </c>
      <c r="G199" s="125">
        <v>4465</v>
      </c>
      <c r="H199" s="125">
        <v>4751</v>
      </c>
      <c r="I199" s="7"/>
      <c r="J199" s="6"/>
      <c r="K199" s="6"/>
      <c r="L199" s="42"/>
      <c r="P199" s="6"/>
      <c r="Q199" s="6"/>
      <c r="R199" s="6"/>
      <c r="S199" s="6"/>
      <c r="T199" s="6"/>
    </row>
    <row r="200" spans="1:20" ht="17.25">
      <c r="A200" s="6"/>
      <c r="B200" s="72" t="s">
        <v>260</v>
      </c>
      <c r="C200" s="173">
        <v>2761</v>
      </c>
      <c r="D200" s="232">
        <v>2626</v>
      </c>
      <c r="E200" s="232">
        <v>2550</v>
      </c>
      <c r="F200" s="232">
        <v>2976</v>
      </c>
      <c r="G200" s="126">
        <v>2524</v>
      </c>
      <c r="H200" s="126">
        <v>2766</v>
      </c>
      <c r="I200" s="7"/>
      <c r="J200" s="6"/>
      <c r="K200" s="6"/>
      <c r="L200" s="43"/>
      <c r="P200" s="6"/>
      <c r="Q200" s="6"/>
      <c r="R200" s="6"/>
      <c r="S200" s="6"/>
      <c r="T200" s="6"/>
    </row>
    <row r="201" spans="1:20" ht="17.25">
      <c r="A201" s="6"/>
      <c r="B201" s="72" t="s">
        <v>261</v>
      </c>
      <c r="C201" s="173">
        <v>1071</v>
      </c>
      <c r="D201" s="233">
        <v>882</v>
      </c>
      <c r="E201" s="233">
        <v>730</v>
      </c>
      <c r="F201" s="233">
        <v>857</v>
      </c>
      <c r="G201" s="126">
        <v>1323</v>
      </c>
      <c r="H201" s="126">
        <v>1323</v>
      </c>
      <c r="I201" s="7"/>
      <c r="J201" s="6"/>
      <c r="K201" s="6"/>
      <c r="L201" s="43"/>
      <c r="P201" s="6"/>
      <c r="Q201" s="6"/>
      <c r="R201" s="6"/>
      <c r="S201" s="6"/>
      <c r="T201" s="6"/>
    </row>
    <row r="202" spans="1:20" ht="17.25">
      <c r="A202" s="6"/>
      <c r="B202" s="72" t="s">
        <v>262</v>
      </c>
      <c r="C202" s="173">
        <v>304</v>
      </c>
      <c r="D202" s="233">
        <v>259</v>
      </c>
      <c r="E202" s="233">
        <v>331</v>
      </c>
      <c r="F202" s="233">
        <v>219</v>
      </c>
      <c r="G202" s="126">
        <v>240</v>
      </c>
      <c r="H202" s="126">
        <v>240</v>
      </c>
      <c r="I202" s="7"/>
      <c r="J202" s="6"/>
      <c r="K202" s="6"/>
      <c r="L202" s="43"/>
      <c r="P202" s="6"/>
      <c r="Q202" s="6"/>
      <c r="R202" s="6"/>
      <c r="S202" s="6"/>
      <c r="T202" s="6"/>
    </row>
    <row r="203" spans="1:20" ht="18" thickBot="1">
      <c r="A203" s="6"/>
      <c r="B203" s="94" t="s">
        <v>102</v>
      </c>
      <c r="C203" s="327">
        <v>285</v>
      </c>
      <c r="D203" s="103">
        <v>178</v>
      </c>
      <c r="E203" s="103">
        <v>82</v>
      </c>
      <c r="F203" s="94">
        <v>79</v>
      </c>
      <c r="G203" s="127">
        <v>136</v>
      </c>
      <c r="H203" s="127">
        <v>136</v>
      </c>
      <c r="I203" s="7"/>
      <c r="J203" s="6"/>
      <c r="K203" s="6"/>
      <c r="L203" s="43"/>
      <c r="P203" s="6"/>
      <c r="Q203" s="6"/>
      <c r="R203" s="6"/>
      <c r="S203" s="6"/>
      <c r="T203" s="6"/>
    </row>
    <row r="204" spans="1:20" ht="5.25" customHeight="1">
      <c r="A204" s="6"/>
      <c r="B204" s="34"/>
      <c r="C204" s="34"/>
      <c r="D204" s="34"/>
      <c r="H204" s="6"/>
      <c r="I204" s="34"/>
      <c r="J204" s="6"/>
      <c r="K204" s="6"/>
      <c r="L204" s="43"/>
      <c r="P204" s="6"/>
      <c r="Q204" s="6"/>
      <c r="R204" s="6"/>
      <c r="S204" s="6"/>
      <c r="T204" s="6"/>
    </row>
    <row r="205" spans="1:20" ht="18" thickBot="1">
      <c r="A205" s="85" t="s">
        <v>363</v>
      </c>
      <c r="C205" s="85"/>
      <c r="D205" s="7"/>
      <c r="E205" s="7"/>
      <c r="F205" s="7"/>
      <c r="G205" s="7"/>
      <c r="H205" s="7"/>
      <c r="I205" s="7"/>
      <c r="K205" s="7"/>
    </row>
    <row r="206" spans="1:20" ht="17.25">
      <c r="A206" s="6"/>
      <c r="B206" s="388" t="s">
        <v>324</v>
      </c>
      <c r="C206" s="293" t="s">
        <v>40</v>
      </c>
      <c r="D206" s="293" t="s">
        <v>41</v>
      </c>
      <c r="E206" s="293" t="s">
        <v>42</v>
      </c>
      <c r="F206" s="293" t="s">
        <v>43</v>
      </c>
      <c r="G206" s="388" t="s">
        <v>44</v>
      </c>
      <c r="H206" s="388" t="s">
        <v>45</v>
      </c>
      <c r="I206" s="7"/>
      <c r="J206" s="6"/>
      <c r="K206" s="34"/>
      <c r="L206" s="6"/>
      <c r="M206" s="6"/>
      <c r="N206" s="6"/>
      <c r="O206" s="6"/>
      <c r="P206" s="6"/>
      <c r="Q206" s="6"/>
      <c r="R206" s="6"/>
      <c r="S206" s="6"/>
      <c r="T206" s="6"/>
    </row>
    <row r="207" spans="1:20" ht="17.25">
      <c r="A207" s="6"/>
      <c r="B207" s="99" t="s">
        <v>320</v>
      </c>
      <c r="C207" s="149">
        <v>0.79600000000000004</v>
      </c>
      <c r="D207" s="235">
        <v>0.81200000000000006</v>
      </c>
      <c r="E207" s="235">
        <v>0.87519999999999998</v>
      </c>
      <c r="F207" s="235">
        <v>0.86</v>
      </c>
      <c r="G207" s="147">
        <v>0.82099999999999995</v>
      </c>
      <c r="H207" s="147">
        <v>0.81399999999999995</v>
      </c>
      <c r="I207" s="7"/>
      <c r="J207" s="6"/>
      <c r="K207" s="34"/>
      <c r="L207" s="6"/>
      <c r="M207" s="6"/>
      <c r="N207" s="6"/>
      <c r="O207" s="6"/>
      <c r="P207" s="6"/>
      <c r="Q207" s="6"/>
      <c r="R207" s="6"/>
      <c r="S207" s="6"/>
      <c r="T207" s="6"/>
    </row>
    <row r="208" spans="1:20" ht="18" thickBot="1">
      <c r="A208" s="6"/>
      <c r="B208" s="93" t="s">
        <v>321</v>
      </c>
      <c r="C208" s="149">
        <v>0.20300000000000001</v>
      </c>
      <c r="D208" s="235">
        <v>0.188</v>
      </c>
      <c r="E208" s="235">
        <v>0.12479999999999999</v>
      </c>
      <c r="F208" s="235">
        <v>0.13700000000000001</v>
      </c>
      <c r="G208" s="148">
        <v>0.17899999999999999</v>
      </c>
      <c r="H208" s="148">
        <v>0.186</v>
      </c>
      <c r="I208" s="7"/>
      <c r="J208" s="6"/>
      <c r="K208" s="34"/>
      <c r="L208" s="6"/>
      <c r="M208" s="6"/>
      <c r="N208" s="6"/>
      <c r="O208" s="6"/>
      <c r="P208" s="6"/>
      <c r="Q208" s="6"/>
      <c r="R208" s="6"/>
      <c r="S208" s="6"/>
      <c r="T208" s="6"/>
    </row>
    <row r="209" spans="1:20" ht="18" thickBot="1">
      <c r="A209" s="6"/>
      <c r="B209" s="94" t="s">
        <v>364</v>
      </c>
      <c r="C209" s="150">
        <v>1E-3</v>
      </c>
      <c r="D209" s="236">
        <v>0</v>
      </c>
      <c r="E209" s="236">
        <v>0</v>
      </c>
      <c r="F209" s="236">
        <v>3.0000000000000001E-3</v>
      </c>
      <c r="G209" s="234"/>
      <c r="H209" s="234"/>
      <c r="I209" s="7"/>
      <c r="J209" s="361"/>
      <c r="K209" s="34"/>
      <c r="L209" s="6"/>
      <c r="M209" s="6"/>
      <c r="N209" s="6"/>
      <c r="O209" s="6"/>
      <c r="P209" s="6"/>
      <c r="Q209" s="6"/>
      <c r="R209" s="6"/>
      <c r="S209" s="6"/>
      <c r="T209" s="6"/>
    </row>
    <row r="210" spans="1:20" ht="5.25" customHeight="1">
      <c r="A210" s="6"/>
      <c r="B210" s="36"/>
      <c r="C210" s="36"/>
      <c r="D210" s="34"/>
      <c r="E210" s="34"/>
      <c r="F210" s="34"/>
      <c r="G210" s="34"/>
      <c r="H210" s="34"/>
      <c r="I210" s="34"/>
      <c r="J210" s="6"/>
      <c r="K210" s="6"/>
      <c r="L210" s="6"/>
      <c r="M210" s="6"/>
      <c r="N210" s="6"/>
      <c r="O210" s="6"/>
      <c r="P210" s="6"/>
      <c r="Q210" s="6"/>
      <c r="R210" s="6"/>
    </row>
    <row r="211" spans="1:20" ht="18" thickBot="1">
      <c r="A211" s="85" t="s">
        <v>365</v>
      </c>
      <c r="C211" s="85"/>
      <c r="D211" s="7"/>
      <c r="E211" s="7"/>
      <c r="F211" s="7"/>
      <c r="G211" s="7"/>
      <c r="H211" s="7"/>
      <c r="I211" s="7"/>
      <c r="K211" s="7"/>
    </row>
    <row r="212" spans="1:20" ht="17.25">
      <c r="A212" s="6"/>
      <c r="B212" s="383" t="s">
        <v>450</v>
      </c>
      <c r="C212" s="293" t="s">
        <v>40</v>
      </c>
      <c r="D212" s="293" t="s">
        <v>41</v>
      </c>
      <c r="E212" s="293" t="s">
        <v>42</v>
      </c>
      <c r="F212" s="293" t="s">
        <v>43</v>
      </c>
      <c r="G212" s="383" t="s">
        <v>450</v>
      </c>
      <c r="H212" s="388" t="s">
        <v>44</v>
      </c>
      <c r="I212" s="388" t="s">
        <v>45</v>
      </c>
      <c r="K212" s="7"/>
      <c r="L212" s="6"/>
      <c r="M212" s="6"/>
    </row>
    <row r="213" spans="1:20" ht="17.25">
      <c r="A213" s="6"/>
      <c r="B213" s="100" t="s">
        <v>366</v>
      </c>
      <c r="C213" s="149">
        <v>0.41620000000000001</v>
      </c>
      <c r="D213" s="497">
        <v>0.41930000000000001</v>
      </c>
      <c r="E213" s="497">
        <v>0.46150000000000002</v>
      </c>
      <c r="F213" s="497">
        <v>0.42899999999999999</v>
      </c>
      <c r="G213" s="100" t="s">
        <v>331</v>
      </c>
      <c r="H213" s="149">
        <v>0.45300000000000001</v>
      </c>
      <c r="I213" s="149">
        <v>0.41699999999999998</v>
      </c>
      <c r="K213" s="7"/>
      <c r="L213" s="6"/>
    </row>
    <row r="214" spans="1:20" ht="17.25">
      <c r="A214" s="6"/>
      <c r="B214" s="100" t="s">
        <v>367</v>
      </c>
      <c r="C214" s="149">
        <v>0.20330000000000001</v>
      </c>
      <c r="D214" s="497">
        <v>0.19489999999999999</v>
      </c>
      <c r="E214" s="497">
        <v>0.19389999999999999</v>
      </c>
      <c r="F214" s="497">
        <v>0.19400000000000001</v>
      </c>
      <c r="G214" s="100" t="s">
        <v>332</v>
      </c>
      <c r="H214" s="149">
        <v>0.184</v>
      </c>
      <c r="I214" s="149">
        <v>0.191</v>
      </c>
      <c r="K214" s="7"/>
      <c r="L214" s="6"/>
    </row>
    <row r="215" spans="1:20" ht="17.25">
      <c r="A215" s="6"/>
      <c r="B215" s="100" t="s">
        <v>368</v>
      </c>
      <c r="C215" s="149">
        <v>0.14360000000000001</v>
      </c>
      <c r="D215" s="497">
        <v>0.14299999999999999</v>
      </c>
      <c r="E215" s="497">
        <v>0.12479999999999999</v>
      </c>
      <c r="F215" s="497">
        <v>0.152</v>
      </c>
      <c r="G215" s="100" t="s">
        <v>340</v>
      </c>
      <c r="H215" s="149">
        <v>0.23200000000000001</v>
      </c>
      <c r="I215" s="149">
        <v>0.255</v>
      </c>
      <c r="K215" s="7"/>
      <c r="L215" s="6"/>
    </row>
    <row r="216" spans="1:20" ht="17.25">
      <c r="A216" s="6"/>
      <c r="B216" s="100" t="s">
        <v>369</v>
      </c>
      <c r="C216" s="149">
        <v>9.64E-2</v>
      </c>
      <c r="D216" s="497">
        <v>9.9400000000000002E-2</v>
      </c>
      <c r="E216" s="497">
        <v>9.0700000000000003E-2</v>
      </c>
      <c r="F216" s="497">
        <v>9.0999999999999998E-2</v>
      </c>
      <c r="G216" s="100" t="s">
        <v>341</v>
      </c>
      <c r="H216" s="149">
        <v>9.8000000000000004E-2</v>
      </c>
      <c r="I216" s="149">
        <v>0.105</v>
      </c>
      <c r="K216" s="7"/>
      <c r="L216" s="6"/>
    </row>
    <row r="217" spans="1:20" ht="17.25">
      <c r="A217" s="6"/>
      <c r="B217" s="100" t="s">
        <v>370</v>
      </c>
      <c r="C217" s="149">
        <v>6.08E-2</v>
      </c>
      <c r="D217" s="497">
        <v>6.2100000000000002E-2</v>
      </c>
      <c r="E217" s="497">
        <v>5.9700000000000003E-2</v>
      </c>
      <c r="F217" s="497">
        <v>6.2E-2</v>
      </c>
      <c r="G217" s="100" t="s">
        <v>342</v>
      </c>
      <c r="H217" s="149">
        <v>0.03</v>
      </c>
      <c r="I217" s="149">
        <v>2.8000000000000001E-2</v>
      </c>
      <c r="K217" s="7"/>
      <c r="L217" s="6"/>
    </row>
    <row r="218" spans="1:20" ht="18" thickBot="1">
      <c r="A218" s="6"/>
      <c r="B218" s="100" t="s">
        <v>371</v>
      </c>
      <c r="C218" s="149">
        <v>4.3400000000000001E-2</v>
      </c>
      <c r="D218" s="497">
        <v>4.3099999999999999E-2</v>
      </c>
      <c r="E218" s="497">
        <v>3.9199999999999999E-2</v>
      </c>
      <c r="F218" s="497">
        <v>3.5999999999999997E-2</v>
      </c>
      <c r="G218" s="101" t="s">
        <v>339</v>
      </c>
      <c r="H218" s="150">
        <v>3.7999999999999999E-2</v>
      </c>
      <c r="I218" s="150">
        <v>4.2999999999999997E-2</v>
      </c>
      <c r="K218" s="7"/>
      <c r="L218" s="6"/>
    </row>
    <row r="219" spans="1:20" ht="17.25">
      <c r="A219" s="6"/>
      <c r="B219" s="100" t="s">
        <v>372</v>
      </c>
      <c r="C219" s="149">
        <v>2.4400000000000002E-2</v>
      </c>
      <c r="D219" s="497">
        <v>2.46E-2</v>
      </c>
      <c r="E219" s="497">
        <v>2.1600000000000001E-2</v>
      </c>
      <c r="F219" s="497">
        <v>2.4E-2</v>
      </c>
      <c r="K219" s="7"/>
      <c r="L219" s="6"/>
    </row>
    <row r="220" spans="1:20">
      <c r="A220" s="6"/>
      <c r="B220" s="100" t="s">
        <v>373</v>
      </c>
      <c r="C220" s="149">
        <v>9.2999999999999992E-3</v>
      </c>
      <c r="D220" s="497">
        <v>1.06E-2</v>
      </c>
      <c r="E220" s="497">
        <v>6.4999999999999997E-3</v>
      </c>
      <c r="F220" s="497">
        <v>8.9999999999999993E-3</v>
      </c>
      <c r="L220" s="6"/>
    </row>
    <row r="221" spans="1:20" ht="16.5" thickBot="1">
      <c r="A221" s="6"/>
      <c r="B221" s="101" t="s">
        <v>339</v>
      </c>
      <c r="C221" s="150">
        <v>2.5000000000000001E-3</v>
      </c>
      <c r="D221" s="498">
        <v>3.0000000000000001E-3</v>
      </c>
      <c r="E221" s="498">
        <v>2.2000000000000001E-3</v>
      </c>
      <c r="F221" s="498">
        <v>2E-3</v>
      </c>
      <c r="L221" s="6"/>
      <c r="M221" s="6"/>
    </row>
    <row r="222" spans="1:20" ht="5.25" customHeight="1">
      <c r="A222" s="6"/>
      <c r="B222" s="36"/>
      <c r="C222" s="36"/>
      <c r="D222" s="34"/>
      <c r="E222" s="34"/>
      <c r="F222" s="34"/>
      <c r="G222" s="34"/>
      <c r="H222" s="34"/>
      <c r="I222" s="34"/>
      <c r="J222" s="6"/>
      <c r="K222" s="6"/>
      <c r="L222" s="6"/>
      <c r="N222" s="6"/>
      <c r="O222" s="6"/>
      <c r="P222" s="6"/>
      <c r="Q222" s="6"/>
      <c r="R222" s="6"/>
    </row>
    <row r="223" spans="1:20" ht="18" thickBot="1">
      <c r="A223" s="362" t="s">
        <v>224</v>
      </c>
      <c r="C223" s="85"/>
      <c r="D223" s="7"/>
      <c r="E223" s="7"/>
      <c r="F223" s="7"/>
      <c r="G223" s="7"/>
      <c r="H223" s="7"/>
      <c r="I223" s="7"/>
      <c r="K223" s="7"/>
    </row>
    <row r="224" spans="1:20" ht="17.25">
      <c r="A224" s="6"/>
      <c r="B224" s="291" t="s">
        <v>374</v>
      </c>
      <c r="C224" s="291" t="s">
        <v>40</v>
      </c>
      <c r="D224" s="291" t="s">
        <v>41</v>
      </c>
      <c r="E224" s="493" t="s">
        <v>42</v>
      </c>
      <c r="F224" s="493" t="s">
        <v>43</v>
      </c>
      <c r="G224" s="388" t="s">
        <v>44</v>
      </c>
      <c r="H224" s="388" t="s">
        <v>45</v>
      </c>
      <c r="I224" s="7"/>
      <c r="J224" s="6"/>
      <c r="K224" s="6"/>
      <c r="L224" s="6"/>
      <c r="P224" s="6"/>
      <c r="Q224" s="6"/>
      <c r="R224" s="6"/>
      <c r="S224" s="6"/>
      <c r="T224" s="6"/>
    </row>
    <row r="225" spans="1:20" ht="29.25" thickBot="1">
      <c r="A225" s="6"/>
      <c r="B225" s="321" t="s">
        <v>375</v>
      </c>
      <c r="C225" s="456">
        <v>0.88</v>
      </c>
      <c r="D225" s="456">
        <v>0.83</v>
      </c>
      <c r="E225" s="494">
        <v>0.82</v>
      </c>
      <c r="F225" s="494">
        <v>0.84499999999999997</v>
      </c>
      <c r="G225" s="495">
        <v>0.83</v>
      </c>
      <c r="H225" s="495" t="s">
        <v>256</v>
      </c>
      <c r="I225" s="7"/>
      <c r="J225" s="6"/>
      <c r="K225" s="6"/>
      <c r="L225" s="6"/>
      <c r="P225" s="6"/>
      <c r="Q225" s="6"/>
      <c r="R225" s="6"/>
      <c r="S225" s="6"/>
      <c r="T225" s="6"/>
    </row>
    <row r="226" spans="1:20" ht="5.25" customHeight="1">
      <c r="A226" s="6"/>
      <c r="B226" s="314"/>
      <c r="D226" s="314"/>
      <c r="E226" s="34"/>
      <c r="F226" s="315"/>
      <c r="G226" s="316"/>
      <c r="H226" s="316"/>
      <c r="I226" s="7"/>
      <c r="J226" s="317"/>
      <c r="K226" s="317"/>
      <c r="L226" s="6"/>
      <c r="P226" s="6"/>
      <c r="Q226" s="6"/>
      <c r="R226" s="6"/>
      <c r="S226" s="6"/>
      <c r="T226" s="6"/>
    </row>
    <row r="227" spans="1:20" ht="18" thickBot="1">
      <c r="A227" s="85" t="s">
        <v>226</v>
      </c>
      <c r="D227" s="85"/>
      <c r="E227" s="7"/>
      <c r="F227" s="7"/>
      <c r="G227" s="7"/>
      <c r="H227" s="7"/>
      <c r="I227" s="7"/>
      <c r="K227" s="7"/>
    </row>
    <row r="228" spans="1:20" ht="28.5">
      <c r="A228" s="6"/>
      <c r="B228" s="311" t="s">
        <v>376</v>
      </c>
      <c r="C228" s="291" t="s">
        <v>40</v>
      </c>
      <c r="D228" s="291" t="s">
        <v>41</v>
      </c>
      <c r="E228" s="291" t="s">
        <v>42</v>
      </c>
      <c r="F228" s="312" t="s">
        <v>43</v>
      </c>
      <c r="G228" s="388" t="s">
        <v>44</v>
      </c>
      <c r="H228" s="388" t="s">
        <v>45</v>
      </c>
      <c r="I228" s="7"/>
      <c r="J228" s="6"/>
      <c r="L228" s="6"/>
      <c r="M228" s="6"/>
      <c r="N228" s="6"/>
      <c r="P228" s="6"/>
      <c r="Q228" s="6"/>
      <c r="R228" s="6"/>
      <c r="S228" s="6"/>
      <c r="T228" s="6"/>
    </row>
    <row r="229" spans="1:20" ht="18" thickBot="1">
      <c r="A229" s="6"/>
      <c r="B229" s="310" t="s">
        <v>377</v>
      </c>
      <c r="C229" s="154">
        <v>3.8</v>
      </c>
      <c r="D229" s="154">
        <v>4.0999999999999996</v>
      </c>
      <c r="E229" s="154">
        <v>5</v>
      </c>
      <c r="F229" s="245">
        <v>5.5</v>
      </c>
      <c r="G229" s="246">
        <v>5.9</v>
      </c>
      <c r="H229" s="102">
        <v>5.5</v>
      </c>
      <c r="I229" s="7"/>
      <c r="J229" s="6"/>
      <c r="L229" s="6"/>
      <c r="M229" s="6"/>
      <c r="N229" s="6"/>
      <c r="P229" s="6"/>
      <c r="Q229" s="6"/>
      <c r="R229" s="6"/>
      <c r="S229" s="6"/>
      <c r="T229" s="6"/>
    </row>
    <row r="230" spans="1:20" ht="18" thickBot="1">
      <c r="A230" s="6"/>
      <c r="B230" s="309" t="s">
        <v>378</v>
      </c>
      <c r="C230" s="323">
        <v>1.6</v>
      </c>
      <c r="D230" s="323">
        <v>1.6</v>
      </c>
      <c r="E230" s="323">
        <v>2.1</v>
      </c>
      <c r="F230" s="247">
        <v>1.6</v>
      </c>
      <c r="G230" s="102">
        <v>2.2999999999999998</v>
      </c>
      <c r="H230" s="244"/>
      <c r="I230" s="7"/>
      <c r="J230" s="244"/>
      <c r="K230" s="565" t="s">
        <v>60</v>
      </c>
      <c r="L230" s="6"/>
      <c r="M230" s="6"/>
      <c r="N230" s="6"/>
      <c r="P230" s="6"/>
      <c r="Q230" s="6"/>
      <c r="R230" s="6"/>
      <c r="S230" s="6"/>
      <c r="T230" s="6"/>
    </row>
    <row r="231" spans="1:20" ht="5.25" customHeight="1">
      <c r="A231" s="6"/>
      <c r="B231" s="36"/>
      <c r="C231" s="36"/>
      <c r="D231" s="34"/>
      <c r="E231" s="34"/>
      <c r="F231" s="34"/>
      <c r="G231" s="34"/>
      <c r="H231" s="34"/>
      <c r="I231" s="34"/>
      <c r="J231" s="6"/>
      <c r="K231" s="6"/>
      <c r="L231" s="6"/>
      <c r="N231" s="6"/>
      <c r="O231" s="6"/>
      <c r="P231" s="6"/>
      <c r="Q231" s="6"/>
      <c r="R231" s="6"/>
    </row>
    <row r="232" spans="1:20" ht="18" thickBot="1">
      <c r="A232" s="85" t="s">
        <v>228</v>
      </c>
      <c r="C232" s="85"/>
      <c r="D232" s="7"/>
      <c r="E232" s="7"/>
      <c r="F232" s="7"/>
      <c r="G232" s="7"/>
      <c r="H232" s="7"/>
      <c r="I232" s="7"/>
      <c r="K232" s="7"/>
    </row>
    <row r="233" spans="1:20" ht="17.25">
      <c r="A233" s="6"/>
      <c r="B233" s="388" t="s">
        <v>324</v>
      </c>
      <c r="C233" s="291" t="s">
        <v>40</v>
      </c>
      <c r="D233" s="291" t="s">
        <v>41</v>
      </c>
      <c r="E233" s="388" t="s">
        <v>42</v>
      </c>
      <c r="F233" s="388" t="s">
        <v>43</v>
      </c>
      <c r="G233" s="388" t="s">
        <v>44</v>
      </c>
      <c r="H233" s="388" t="s">
        <v>45</v>
      </c>
      <c r="I233" s="7"/>
      <c r="K233" s="39"/>
      <c r="L233" s="6"/>
      <c r="P233" s="6"/>
      <c r="Q233" s="6"/>
      <c r="R233" s="6"/>
      <c r="S233" s="6"/>
      <c r="T233" s="6"/>
    </row>
    <row r="234" spans="1:20" ht="17.25">
      <c r="A234" s="6"/>
      <c r="B234" s="99" t="s">
        <v>320</v>
      </c>
      <c r="C234" s="499">
        <v>0.94899999999999995</v>
      </c>
      <c r="D234" s="499">
        <v>0.90990000000000004</v>
      </c>
      <c r="E234" s="237">
        <v>0.92520000000000002</v>
      </c>
      <c r="F234" s="237">
        <v>0.95699999999999996</v>
      </c>
      <c r="G234" s="151">
        <v>0.92700000000000005</v>
      </c>
      <c r="H234" s="151">
        <v>0.92300000000000004</v>
      </c>
      <c r="I234" s="7"/>
      <c r="K234" s="36"/>
      <c r="L234" s="6"/>
      <c r="M234" s="6"/>
      <c r="N234" s="6"/>
      <c r="P234" s="6"/>
      <c r="Q234" s="6"/>
      <c r="R234" s="6"/>
      <c r="S234" s="6"/>
      <c r="T234" s="6"/>
    </row>
    <row r="235" spans="1:20" ht="18" thickBot="1">
      <c r="A235" s="6"/>
      <c r="B235" s="94" t="s">
        <v>321</v>
      </c>
      <c r="C235" s="145">
        <v>5.0999999999999997E-2</v>
      </c>
      <c r="D235" s="145">
        <v>9.01E-2</v>
      </c>
      <c r="E235" s="238">
        <v>7.4800000000000005E-2</v>
      </c>
      <c r="F235" s="238">
        <v>4.2999999999999997E-2</v>
      </c>
      <c r="G235" s="152">
        <v>7.2999999999999995E-2</v>
      </c>
      <c r="H235" s="152">
        <v>7.6999999999999999E-2</v>
      </c>
      <c r="I235" s="7"/>
      <c r="K235" s="39"/>
      <c r="L235" s="6"/>
      <c r="M235" s="6"/>
      <c r="N235" s="6"/>
      <c r="P235" s="6"/>
      <c r="Q235" s="6"/>
      <c r="R235" s="6"/>
      <c r="S235" s="6"/>
      <c r="T235" s="6"/>
    </row>
    <row r="236" spans="1:20" ht="5.25" customHeight="1">
      <c r="A236" s="6"/>
      <c r="B236" s="40"/>
      <c r="C236" s="40"/>
      <c r="D236" s="40"/>
      <c r="I236" s="34"/>
      <c r="J236" s="6"/>
      <c r="K236" s="6"/>
      <c r="L236" s="6"/>
      <c r="N236" s="6"/>
      <c r="O236" s="6"/>
      <c r="P236" s="6"/>
      <c r="Q236" s="6"/>
      <c r="R236" s="6"/>
    </row>
    <row r="237" spans="1:20" ht="18" thickBot="1">
      <c r="A237" s="85" t="s">
        <v>230</v>
      </c>
      <c r="C237" s="85"/>
      <c r="D237" s="7"/>
      <c r="E237" s="7"/>
      <c r="F237" s="7"/>
      <c r="G237" s="7"/>
      <c r="H237" s="7"/>
      <c r="I237" s="7"/>
      <c r="K237" s="7"/>
    </row>
    <row r="238" spans="1:20" ht="17.25">
      <c r="A238" s="6"/>
      <c r="B238" s="388" t="s">
        <v>50</v>
      </c>
      <c r="C238" s="388" t="s">
        <v>40</v>
      </c>
      <c r="D238" s="388" t="s">
        <v>41</v>
      </c>
      <c r="E238" s="388" t="s">
        <v>42</v>
      </c>
      <c r="F238" s="388" t="s">
        <v>43</v>
      </c>
      <c r="G238" s="388" t="s">
        <v>44</v>
      </c>
      <c r="H238" s="388" t="s">
        <v>45</v>
      </c>
      <c r="I238" s="7"/>
      <c r="J238" s="6"/>
      <c r="K238" s="6"/>
      <c r="L238" s="6"/>
      <c r="P238" s="6"/>
      <c r="Q238" s="6"/>
      <c r="R238" s="6"/>
      <c r="S238" s="6"/>
      <c r="T238" s="6"/>
    </row>
    <row r="239" spans="1:20" ht="17.25">
      <c r="A239" s="6"/>
      <c r="B239" s="72" t="s">
        <v>260</v>
      </c>
      <c r="C239" s="602" t="s">
        <v>379</v>
      </c>
      <c r="D239" s="239">
        <v>8.3000000000000007</v>
      </c>
      <c r="E239" s="239">
        <v>9.9</v>
      </c>
      <c r="F239" s="239">
        <v>13</v>
      </c>
      <c r="G239" s="153">
        <v>13.8</v>
      </c>
      <c r="H239" s="153">
        <v>13.8</v>
      </c>
      <c r="I239" s="7"/>
      <c r="J239" s="6"/>
      <c r="K239" s="6"/>
      <c r="L239" s="6"/>
      <c r="P239" s="6"/>
      <c r="Q239" s="6"/>
      <c r="R239" s="6"/>
      <c r="S239" s="6"/>
      <c r="T239" s="6"/>
    </row>
    <row r="240" spans="1:20" ht="17.25">
      <c r="A240" s="6"/>
      <c r="B240" s="72" t="s">
        <v>261</v>
      </c>
      <c r="C240" s="602" t="s">
        <v>380</v>
      </c>
      <c r="D240" s="239">
        <v>1.4</v>
      </c>
      <c r="E240" s="239">
        <v>2</v>
      </c>
      <c r="F240" s="239">
        <v>1.8</v>
      </c>
      <c r="G240" s="153">
        <v>2</v>
      </c>
      <c r="H240" s="153">
        <v>2</v>
      </c>
      <c r="I240" s="7"/>
      <c r="J240" s="6"/>
      <c r="K240" s="6"/>
      <c r="L240" s="6"/>
      <c r="P240" s="6"/>
      <c r="Q240" s="6"/>
      <c r="R240" s="6"/>
      <c r="S240" s="6"/>
      <c r="T240" s="6"/>
    </row>
    <row r="241" spans="1:20" ht="17.25">
      <c r="A241" s="6"/>
      <c r="B241" s="72" t="s">
        <v>262</v>
      </c>
      <c r="C241" s="602" t="s">
        <v>381</v>
      </c>
      <c r="D241" s="500">
        <v>4</v>
      </c>
      <c r="E241" s="239">
        <v>5.6</v>
      </c>
      <c r="F241" s="239">
        <v>3.5</v>
      </c>
      <c r="G241" s="153">
        <v>5.2</v>
      </c>
      <c r="H241" s="153">
        <v>5.2</v>
      </c>
      <c r="I241" s="7"/>
      <c r="J241" s="6"/>
      <c r="K241" s="6"/>
      <c r="L241" s="6"/>
      <c r="P241" s="6"/>
      <c r="Q241" s="6"/>
      <c r="R241" s="6"/>
      <c r="S241" s="6"/>
      <c r="T241" s="6"/>
    </row>
    <row r="242" spans="1:20" ht="17.25">
      <c r="A242" s="6"/>
      <c r="B242" s="181" t="s">
        <v>263</v>
      </c>
      <c r="C242" s="353" t="s">
        <v>382</v>
      </c>
      <c r="D242" s="240" t="s">
        <v>76</v>
      </c>
      <c r="E242" s="240" t="s">
        <v>76</v>
      </c>
      <c r="F242" s="240" t="s">
        <v>76</v>
      </c>
      <c r="G242" s="154" t="s">
        <v>76</v>
      </c>
      <c r="H242" s="153">
        <v>1.4</v>
      </c>
      <c r="I242" s="7"/>
      <c r="J242" s="6"/>
      <c r="K242" s="6"/>
      <c r="L242" s="6"/>
      <c r="P242" s="6"/>
      <c r="Q242" s="6"/>
      <c r="R242" s="6"/>
      <c r="S242" s="6"/>
      <c r="T242" s="6"/>
    </row>
    <row r="243" spans="1:20" ht="18" thickBot="1">
      <c r="A243" s="6"/>
      <c r="B243" s="92" t="s">
        <v>96</v>
      </c>
      <c r="C243" s="603" t="s">
        <v>383</v>
      </c>
      <c r="D243" s="324">
        <v>4.0999999999999996</v>
      </c>
      <c r="E243" s="324">
        <v>5</v>
      </c>
      <c r="F243" s="92">
        <v>5.5</v>
      </c>
      <c r="G243" s="155">
        <v>5.9</v>
      </c>
      <c r="H243" s="155">
        <v>5.5</v>
      </c>
      <c r="I243" s="7"/>
      <c r="J243" s="6"/>
      <c r="K243" s="6"/>
      <c r="L243" s="6"/>
      <c r="M243" s="6"/>
      <c r="N243" s="6"/>
      <c r="P243" s="6"/>
      <c r="Q243" s="6"/>
      <c r="R243" s="6"/>
      <c r="S243" s="6"/>
      <c r="T243" s="6"/>
    </row>
    <row r="244" spans="1:20" ht="5.25" customHeight="1">
      <c r="A244" s="6"/>
      <c r="B244" s="34"/>
      <c r="D244" s="34"/>
      <c r="H244" s="7"/>
      <c r="I244" s="7"/>
      <c r="J244" s="41"/>
      <c r="K244" s="313"/>
      <c r="L244" s="6"/>
      <c r="M244" s="6"/>
      <c r="N244" s="6"/>
      <c r="P244" s="6"/>
      <c r="Q244" s="6"/>
      <c r="R244" s="6"/>
      <c r="S244" s="6"/>
      <c r="T244" s="6"/>
    </row>
    <row r="245" spans="1:20" ht="18" thickBot="1">
      <c r="A245" s="85" t="s">
        <v>232</v>
      </c>
      <c r="C245" s="85"/>
      <c r="D245" s="7"/>
      <c r="E245" s="7"/>
      <c r="F245" s="7"/>
      <c r="G245" s="7"/>
      <c r="H245" s="7"/>
      <c r="I245" s="7"/>
      <c r="K245" s="7"/>
    </row>
    <row r="246" spans="1:20" ht="17.25">
      <c r="A246" s="6"/>
      <c r="B246" s="388" t="s">
        <v>384</v>
      </c>
      <c r="C246" s="388" t="s">
        <v>40</v>
      </c>
      <c r="D246" s="388" t="s">
        <v>41</v>
      </c>
      <c r="E246" s="388" t="s">
        <v>42</v>
      </c>
      <c r="H246" s="6"/>
      <c r="I246" s="34"/>
      <c r="J246" s="41"/>
      <c r="K246" s="313"/>
      <c r="L246" s="6"/>
      <c r="M246" s="6"/>
      <c r="N246" s="6"/>
      <c r="P246" s="6"/>
      <c r="Q246" s="6"/>
      <c r="R246" s="6"/>
      <c r="S246" s="6"/>
      <c r="T246" s="6"/>
    </row>
    <row r="247" spans="1:20" ht="17.25">
      <c r="A247" s="6"/>
      <c r="B247" s="99" t="s">
        <v>385</v>
      </c>
      <c r="C247" s="325">
        <v>62</v>
      </c>
      <c r="D247" s="325">
        <v>13</v>
      </c>
      <c r="E247" s="325">
        <v>11</v>
      </c>
      <c r="H247" s="6"/>
      <c r="I247" s="34"/>
      <c r="J247" s="41"/>
      <c r="K247" s="313"/>
      <c r="L247" s="6"/>
      <c r="M247" s="6"/>
      <c r="N247" s="6"/>
      <c r="P247" s="6"/>
      <c r="Q247" s="6"/>
      <c r="R247" s="6"/>
      <c r="S247" s="6"/>
      <c r="T247" s="6"/>
    </row>
    <row r="248" spans="1:20" ht="29.25" thickBot="1">
      <c r="A248" s="6"/>
      <c r="B248" s="94" t="s">
        <v>386</v>
      </c>
      <c r="C248" s="326" t="s">
        <v>387</v>
      </c>
      <c r="D248" s="326" t="s">
        <v>388</v>
      </c>
      <c r="E248" s="326" t="s">
        <v>389</v>
      </c>
      <c r="H248" s="6"/>
      <c r="I248" s="34"/>
      <c r="K248" s="565" t="s">
        <v>60</v>
      </c>
      <c r="L248" s="6"/>
      <c r="M248" s="6"/>
      <c r="N248" s="6"/>
      <c r="P248" s="6"/>
      <c r="Q248" s="6"/>
      <c r="R248" s="6"/>
      <c r="S248" s="6"/>
      <c r="T248" s="6"/>
    </row>
    <row r="249" spans="1:20" ht="5.25" customHeight="1">
      <c r="A249" s="6"/>
      <c r="B249" s="34"/>
      <c r="D249" s="34"/>
      <c r="H249" s="6"/>
      <c r="I249" s="34"/>
      <c r="J249" s="41"/>
      <c r="K249" s="313"/>
      <c r="L249" s="6"/>
      <c r="M249" s="6"/>
      <c r="N249" s="6"/>
      <c r="P249" s="6"/>
      <c r="Q249" s="6"/>
      <c r="R249" s="6"/>
      <c r="S249" s="6"/>
      <c r="T249" s="6"/>
    </row>
    <row r="250" spans="1:20" s="289" customFormat="1" ht="20.25">
      <c r="B250" s="285" t="s">
        <v>234</v>
      </c>
      <c r="C250" s="285"/>
      <c r="D250" s="290"/>
      <c r="E250" s="290"/>
      <c r="F250" s="290"/>
      <c r="G250" s="290"/>
      <c r="H250" s="290"/>
      <c r="I250" s="290"/>
      <c r="K250" s="290"/>
    </row>
    <row r="251" spans="1:20" ht="18" thickBot="1">
      <c r="A251" s="85" t="s">
        <v>236</v>
      </c>
      <c r="C251" s="85"/>
      <c r="D251" s="7"/>
      <c r="E251" s="7"/>
      <c r="F251" s="7"/>
      <c r="G251" s="7"/>
      <c r="H251" s="7"/>
      <c r="I251" s="7"/>
      <c r="K251" s="7"/>
    </row>
    <row r="252" spans="1:20" ht="17.25">
      <c r="A252" s="6"/>
      <c r="B252" s="388" t="s">
        <v>390</v>
      </c>
      <c r="C252" s="388" t="s">
        <v>40</v>
      </c>
      <c r="D252" s="388" t="s">
        <v>41</v>
      </c>
      <c r="E252" s="388" t="s">
        <v>42</v>
      </c>
      <c r="F252" s="34"/>
      <c r="G252" s="34"/>
      <c r="H252" s="34"/>
      <c r="I252" s="34"/>
      <c r="J252" s="6"/>
      <c r="N252" s="6"/>
      <c r="O252" s="6"/>
      <c r="P252" s="6"/>
      <c r="Q252" s="6"/>
      <c r="R252" s="6"/>
    </row>
    <row r="253" spans="1:20" ht="42.75">
      <c r="A253" s="6"/>
      <c r="B253" s="318" t="s">
        <v>391</v>
      </c>
      <c r="C253" s="319" t="s">
        <v>392</v>
      </c>
      <c r="D253" s="319" t="s">
        <v>393</v>
      </c>
      <c r="E253" s="319" t="s">
        <v>394</v>
      </c>
      <c r="F253" s="316"/>
      <c r="G253" s="316"/>
      <c r="H253" s="316"/>
      <c r="I253" s="317"/>
      <c r="J253" s="317"/>
      <c r="K253" s="317"/>
      <c r="L253" s="6"/>
      <c r="P253" s="6"/>
      <c r="Q253" s="6"/>
      <c r="R253" s="6"/>
      <c r="S253" s="6"/>
      <c r="T253" s="6"/>
    </row>
    <row r="254" spans="1:20" ht="43.5" thickBot="1">
      <c r="A254" s="6"/>
      <c r="B254" s="94" t="s">
        <v>395</v>
      </c>
      <c r="C254" s="103" t="s">
        <v>396</v>
      </c>
      <c r="D254" s="320" t="s">
        <v>397</v>
      </c>
      <c r="E254" s="320" t="s">
        <v>397</v>
      </c>
      <c r="F254" s="316"/>
      <c r="G254" s="316"/>
      <c r="H254" s="316"/>
      <c r="I254" s="317"/>
      <c r="K254" s="565" t="s">
        <v>60</v>
      </c>
      <c r="L254" s="6"/>
      <c r="P254" s="6"/>
      <c r="Q254" s="6"/>
      <c r="R254" s="6"/>
      <c r="S254" s="6"/>
      <c r="T254" s="6"/>
    </row>
    <row r="255" spans="1:20" ht="5.25" customHeight="1">
      <c r="A255" s="6"/>
      <c r="B255" s="34"/>
      <c r="D255" s="34"/>
      <c r="H255" s="6"/>
      <c r="I255" s="34"/>
      <c r="J255" s="41"/>
      <c r="K255" s="313"/>
      <c r="L255" s="6"/>
      <c r="M255" s="6"/>
      <c r="N255" s="6"/>
      <c r="P255" s="6"/>
      <c r="Q255" s="6"/>
      <c r="R255" s="6"/>
      <c r="S255" s="6"/>
      <c r="T255" s="6"/>
    </row>
    <row r="256" spans="1:20" s="289" customFormat="1" ht="20.25">
      <c r="B256" s="641" t="s">
        <v>452</v>
      </c>
      <c r="C256" s="285"/>
      <c r="D256" s="290"/>
      <c r="E256" s="290"/>
      <c r="F256" s="290"/>
      <c r="G256" s="290"/>
      <c r="H256" s="290"/>
      <c r="I256" s="290"/>
      <c r="K256" s="290"/>
    </row>
    <row r="257" spans="1:18" s="545" customFormat="1" ht="5.25" customHeight="1" thickBot="1">
      <c r="B257" s="546"/>
      <c r="C257" s="547"/>
      <c r="D257" s="548"/>
      <c r="E257" s="548"/>
      <c r="F257" s="548"/>
      <c r="G257" s="548"/>
      <c r="H257" s="548"/>
      <c r="I257" s="548"/>
      <c r="K257" s="548"/>
    </row>
    <row r="258" spans="1:18">
      <c r="A258" s="6"/>
      <c r="B258" s="388" t="s">
        <v>398</v>
      </c>
      <c r="C258" s="383" t="s">
        <v>457</v>
      </c>
      <c r="D258" s="388" t="s">
        <v>41</v>
      </c>
      <c r="E258" s="388" t="s">
        <v>42</v>
      </c>
      <c r="F258" s="388" t="s">
        <v>43</v>
      </c>
      <c r="G258" s="388" t="s">
        <v>103</v>
      </c>
      <c r="H258" s="6"/>
      <c r="I258" s="6"/>
      <c r="J258" s="6"/>
      <c r="K258" s="6"/>
      <c r="L258" s="6"/>
      <c r="M258" s="6"/>
      <c r="N258" s="6"/>
      <c r="O258" s="6"/>
      <c r="P258" s="6"/>
      <c r="Q258" s="6"/>
      <c r="R258" s="6"/>
    </row>
    <row r="259" spans="1:18" ht="29.25" thickBot="1">
      <c r="A259" s="6"/>
      <c r="B259" s="103" t="s">
        <v>399</v>
      </c>
      <c r="C259" s="327">
        <v>62902</v>
      </c>
      <c r="D259" s="327">
        <v>84631</v>
      </c>
      <c r="E259" s="327">
        <v>70920.63</v>
      </c>
      <c r="F259" s="327">
        <v>62796.95</v>
      </c>
      <c r="G259" s="328">
        <v>80088.42</v>
      </c>
      <c r="H259" s="6"/>
      <c r="I259" s="6"/>
      <c r="J259" s="6"/>
      <c r="K259" s="6"/>
      <c r="L259" s="6"/>
      <c r="M259" s="6"/>
      <c r="N259" s="6"/>
      <c r="O259" s="6"/>
      <c r="P259" s="6"/>
      <c r="Q259" s="6"/>
      <c r="R259" s="6"/>
    </row>
    <row r="260" spans="1:18" ht="5.25" customHeight="1" thickBot="1">
      <c r="A260" s="6"/>
      <c r="B260" s="36"/>
      <c r="C260" s="36"/>
      <c r="D260" s="34"/>
      <c r="E260" s="34"/>
      <c r="F260" s="34"/>
      <c r="G260" s="34"/>
      <c r="H260" s="34"/>
      <c r="I260" s="34"/>
      <c r="J260" s="6"/>
      <c r="K260" s="6"/>
      <c r="L260" s="6"/>
      <c r="M260" s="6"/>
      <c r="N260" s="6"/>
      <c r="O260" s="6"/>
      <c r="P260" s="6"/>
      <c r="Q260" s="6"/>
      <c r="R260" s="6"/>
    </row>
    <row r="261" spans="1:18" ht="29.25" thickBot="1">
      <c r="A261" s="6"/>
      <c r="B261" s="302" t="s">
        <v>91</v>
      </c>
      <c r="C261" s="303" t="s">
        <v>50</v>
      </c>
      <c r="D261" s="303" t="s">
        <v>400</v>
      </c>
      <c r="E261" s="303" t="s">
        <v>401</v>
      </c>
      <c r="F261" s="303" t="s">
        <v>402</v>
      </c>
      <c r="G261" s="303" t="s">
        <v>403</v>
      </c>
      <c r="H261" s="303" t="s">
        <v>404</v>
      </c>
      <c r="I261" s="7"/>
      <c r="J261" s="6"/>
      <c r="K261" s="6"/>
      <c r="L261" s="6"/>
      <c r="M261" s="6"/>
      <c r="N261" s="6"/>
      <c r="O261" s="6"/>
      <c r="P261" s="6"/>
      <c r="Q261" s="6"/>
      <c r="R261" s="6"/>
    </row>
    <row r="262" spans="1:18" ht="17.25">
      <c r="A262" s="6"/>
      <c r="B262" s="241" t="s">
        <v>40</v>
      </c>
      <c r="C262" s="214" t="s">
        <v>96</v>
      </c>
      <c r="D262" s="612">
        <f>62902/12827</f>
        <v>4.9038746394324475</v>
      </c>
      <c r="E262" s="612">
        <f>36104/9445</f>
        <v>3.8225516146109051</v>
      </c>
      <c r="F262" s="612">
        <f>26705/3373</f>
        <v>7.9172843166320783</v>
      </c>
      <c r="G262" s="612">
        <f>38278/10232</f>
        <v>3.7410086004691165</v>
      </c>
      <c r="H262" s="612">
        <f>24624/2586</f>
        <v>9.5220417633410666</v>
      </c>
      <c r="I262" s="7"/>
      <c r="J262" s="6"/>
      <c r="K262" s="6"/>
      <c r="L262" s="6"/>
      <c r="M262" s="6"/>
      <c r="N262" s="6"/>
      <c r="O262" s="6"/>
      <c r="P262" s="6"/>
      <c r="Q262" s="6"/>
      <c r="R262" s="6"/>
    </row>
    <row r="263" spans="1:18" ht="28.5">
      <c r="A263" s="6"/>
      <c r="B263" s="242"/>
      <c r="C263" s="72" t="s">
        <v>260</v>
      </c>
      <c r="D263" s="613">
        <f>23449/4606</f>
        <v>5.0909683022145025</v>
      </c>
      <c r="E263" s="613">
        <f>14497/3706</f>
        <v>3.9117647058823528</v>
      </c>
      <c r="F263" s="613">
        <f>8937/897</f>
        <v>9.9632107023411365</v>
      </c>
      <c r="G263" s="613">
        <f>14778/3869</f>
        <v>3.8195916257430862</v>
      </c>
      <c r="H263" s="613">
        <f>8672/737</f>
        <v>11.766621438263229</v>
      </c>
      <c r="I263" s="7"/>
      <c r="J263" s="6"/>
      <c r="K263" s="6"/>
      <c r="L263" s="6"/>
      <c r="M263" s="6"/>
      <c r="N263" s="6"/>
      <c r="O263" s="6"/>
      <c r="P263" s="6"/>
      <c r="Q263" s="6"/>
      <c r="R263" s="6"/>
    </row>
    <row r="264" spans="1:18" ht="17.25">
      <c r="A264" s="6"/>
      <c r="B264" s="242"/>
      <c r="C264" s="72" t="s">
        <v>261</v>
      </c>
      <c r="D264" s="613">
        <f>23722/5587</f>
        <v>4.2459280472525505</v>
      </c>
      <c r="E264" s="613">
        <f>12091/3908</f>
        <v>3.0939099283520983</v>
      </c>
      <c r="F264" s="613">
        <f>11597/1676</f>
        <v>6.9194510739856803</v>
      </c>
      <c r="G264" s="613">
        <f>15857/4718</f>
        <v>3.3609580330648581</v>
      </c>
      <c r="H264" s="613">
        <f>7865/869</f>
        <v>9.0506329113924053</v>
      </c>
      <c r="I264" s="7"/>
      <c r="J264" s="6"/>
      <c r="K264" s="6"/>
      <c r="L264" s="6"/>
      <c r="M264" s="6"/>
      <c r="N264" s="6"/>
      <c r="O264" s="6"/>
      <c r="P264" s="6"/>
      <c r="Q264" s="6"/>
      <c r="R264" s="6"/>
    </row>
    <row r="265" spans="1:18" ht="28.5">
      <c r="A265" s="6"/>
      <c r="B265" s="242"/>
      <c r="C265" s="72" t="s">
        <v>262</v>
      </c>
      <c r="D265" s="613">
        <f>7210/1628</f>
        <v>4.4287469287469285</v>
      </c>
      <c r="E265" s="613">
        <f>5155/1288</f>
        <v>4.0023291925465836</v>
      </c>
      <c r="F265" s="613">
        <f>2055/340</f>
        <v>6.0441176470588234</v>
      </c>
      <c r="G265" s="613">
        <f>4948/1337</f>
        <v>3.700822737471952</v>
      </c>
      <c r="H265" s="613">
        <f>2262/291</f>
        <v>7.7731958762886597</v>
      </c>
      <c r="I265" s="7"/>
      <c r="J265" s="6"/>
      <c r="K265" s="6"/>
      <c r="L265" s="6"/>
      <c r="M265" s="6"/>
      <c r="N265" s="6"/>
      <c r="O265" s="6"/>
      <c r="P265" s="6"/>
      <c r="Q265" s="6"/>
      <c r="R265" s="6"/>
    </row>
    <row r="266" spans="1:18" ht="18" thickBot="1">
      <c r="A266" s="6"/>
      <c r="B266" s="243"/>
      <c r="C266" s="217" t="s">
        <v>102</v>
      </c>
      <c r="D266" s="614">
        <f>8521/1006</f>
        <v>8.4701789264413527</v>
      </c>
      <c r="E266" s="614">
        <f>4361/543</f>
        <v>8.0313075506445664</v>
      </c>
      <c r="F266" s="614">
        <f>4116/460</f>
        <v>8.9478260869565212</v>
      </c>
      <c r="G266" s="614">
        <f>2695/308</f>
        <v>8.75</v>
      </c>
      <c r="H266" s="614">
        <f>5826/689</f>
        <v>8.4557329462989834</v>
      </c>
      <c r="I266" s="7"/>
      <c r="J266" s="6"/>
      <c r="K266" s="6"/>
      <c r="L266" s="6"/>
      <c r="M266" s="6"/>
      <c r="N266" s="6"/>
      <c r="O266" s="6"/>
      <c r="P266" s="6"/>
      <c r="Q266" s="6"/>
      <c r="R266" s="6"/>
    </row>
    <row r="267" spans="1:18" ht="17.25">
      <c r="A267" s="6"/>
      <c r="B267" s="241" t="s">
        <v>41</v>
      </c>
      <c r="C267" s="214" t="s">
        <v>96</v>
      </c>
      <c r="D267" s="615">
        <f>84631/12337</f>
        <v>6.8599335332738915</v>
      </c>
      <c r="E267" s="612">
        <f>50514/9323</f>
        <v>5.4182130215595841</v>
      </c>
      <c r="F267" s="612">
        <f>34022/3009</f>
        <v>11.306746427384514</v>
      </c>
      <c r="G267" s="612">
        <f>47158/10071</f>
        <v>4.682553867540463</v>
      </c>
      <c r="H267" s="616">
        <f>37463/6791</f>
        <v>5.5165660432925927</v>
      </c>
      <c r="I267" s="7"/>
      <c r="J267" s="6"/>
      <c r="K267" s="6"/>
      <c r="L267" s="6"/>
      <c r="M267" s="6"/>
      <c r="N267" s="6"/>
      <c r="O267" s="6"/>
      <c r="P267" s="6"/>
      <c r="Q267" s="6"/>
      <c r="R267" s="6"/>
    </row>
    <row r="268" spans="1:18" ht="28.5">
      <c r="A268" s="6"/>
      <c r="B268" s="242"/>
      <c r="C268" s="72" t="s">
        <v>260</v>
      </c>
      <c r="D268" s="617">
        <f>27091/4587</f>
        <v>5.9060388053193806</v>
      </c>
      <c r="E268" s="618">
        <f>16656/3779</f>
        <v>4.4075152156655202</v>
      </c>
      <c r="F268" s="618">
        <f>10492/806</f>
        <v>13.017369727047146</v>
      </c>
      <c r="G268" s="618">
        <f>15280/3904</f>
        <v>3.9139344262295084</v>
      </c>
      <c r="H268" s="619">
        <f>11867/2755</f>
        <v>4.3074410163339385</v>
      </c>
      <c r="I268" s="7"/>
      <c r="J268" s="6"/>
      <c r="K268" s="6"/>
      <c r="L268" s="6"/>
      <c r="M268" s="6"/>
      <c r="N268" s="6"/>
      <c r="O268" s="6"/>
      <c r="P268" s="6"/>
      <c r="Q268" s="6"/>
      <c r="R268" s="6"/>
    </row>
    <row r="269" spans="1:18" ht="17.25">
      <c r="A269" s="6"/>
      <c r="B269" s="242"/>
      <c r="C269" s="72" t="s">
        <v>261</v>
      </c>
      <c r="D269" s="617">
        <f>34213/5441</f>
        <v>6.287998529682044</v>
      </c>
      <c r="E269" s="618">
        <f>18459/3908</f>
        <v>4.7233879222108497</v>
      </c>
      <c r="F269" s="618">
        <f>15720/1532</f>
        <v>10.261096605744125</v>
      </c>
      <c r="G269" s="618">
        <f>20152/4622</f>
        <v>4.3600173085244487</v>
      </c>
      <c r="H269" s="619">
        <f>14073/2744</f>
        <v>5.1286443148688043</v>
      </c>
      <c r="I269" s="7"/>
      <c r="J269" s="6"/>
      <c r="K269" s="6"/>
      <c r="L269" s="6"/>
      <c r="M269" s="6"/>
      <c r="N269" s="6"/>
      <c r="O269" s="6"/>
      <c r="P269" s="6"/>
      <c r="Q269" s="6"/>
      <c r="R269" s="6"/>
    </row>
    <row r="270" spans="1:18" ht="28.5">
      <c r="A270" s="6"/>
      <c r="B270" s="242"/>
      <c r="C270" s="72" t="s">
        <v>262</v>
      </c>
      <c r="D270" s="617">
        <f>13848/1617</f>
        <v>8.5640074211502775</v>
      </c>
      <c r="E270" s="618">
        <f>10425/1276</f>
        <v>8.1700626959247646</v>
      </c>
      <c r="F270" s="618">
        <f>3424/341</f>
        <v>10.041055718475073</v>
      </c>
      <c r="G270" s="618">
        <f>9843/1331</f>
        <v>7.3951915852742296</v>
      </c>
      <c r="H270" s="619">
        <f>4006/822</f>
        <v>4.8734793187347929</v>
      </c>
      <c r="I270" s="7"/>
      <c r="J270" s="6"/>
      <c r="K270" s="6"/>
      <c r="L270" s="6"/>
      <c r="M270" s="6"/>
      <c r="N270" s="6"/>
      <c r="O270" s="6"/>
      <c r="P270" s="6"/>
      <c r="Q270" s="6"/>
      <c r="R270" s="6"/>
    </row>
    <row r="271" spans="1:18" ht="18" thickBot="1">
      <c r="A271" s="6"/>
      <c r="B271" s="243"/>
      <c r="C271" s="217" t="s">
        <v>102</v>
      </c>
      <c r="D271" s="620">
        <f>9409/692</f>
        <v>13.596820809248555</v>
      </c>
      <c r="E271" s="621">
        <f>4974/360</f>
        <v>13.816666666666666</v>
      </c>
      <c r="F271" s="621">
        <f>4386/330</f>
        <v>13.290909090909091</v>
      </c>
      <c r="G271" s="621">
        <f>1883/214</f>
        <v>8.7990654205607477</v>
      </c>
      <c r="H271" s="622">
        <f>7517/470</f>
        <v>15.993617021276595</v>
      </c>
      <c r="I271" s="7"/>
      <c r="J271" s="6"/>
      <c r="K271" s="6"/>
      <c r="L271" s="6"/>
      <c r="M271" s="6"/>
      <c r="N271" s="6"/>
      <c r="O271" s="6"/>
      <c r="P271" s="6"/>
      <c r="Q271" s="6"/>
      <c r="R271" s="6"/>
    </row>
    <row r="272" spans="1:18" ht="17.25">
      <c r="A272" s="6"/>
      <c r="B272" s="241" t="s">
        <v>42</v>
      </c>
      <c r="C272" s="214" t="s">
        <v>96</v>
      </c>
      <c r="D272" s="329">
        <v>5.91</v>
      </c>
      <c r="E272" s="329">
        <v>4.09</v>
      </c>
      <c r="F272" s="329">
        <v>9.9600000000000009</v>
      </c>
      <c r="G272" s="329">
        <v>3.77</v>
      </c>
      <c r="H272" s="329">
        <v>13.55</v>
      </c>
      <c r="I272" s="7"/>
      <c r="J272" s="6"/>
      <c r="K272" s="6"/>
      <c r="L272" s="6"/>
      <c r="M272" s="6"/>
      <c r="N272" s="6"/>
      <c r="O272" s="6"/>
      <c r="P272" s="6"/>
      <c r="Q272" s="6"/>
      <c r="R272" s="6"/>
    </row>
    <row r="273" spans="1:18" ht="28.5">
      <c r="A273" s="6"/>
      <c r="B273" s="242"/>
      <c r="C273" s="72" t="s">
        <v>260</v>
      </c>
      <c r="D273" s="239">
        <v>4.8899999999999997</v>
      </c>
      <c r="E273" s="239">
        <v>3.89</v>
      </c>
      <c r="F273" s="239">
        <v>10.32</v>
      </c>
      <c r="G273" s="239">
        <v>3.47</v>
      </c>
      <c r="H273" s="239">
        <v>14.05</v>
      </c>
      <c r="I273" s="7"/>
      <c r="J273" s="6"/>
      <c r="K273" s="6"/>
      <c r="L273" s="6"/>
      <c r="M273" s="6"/>
      <c r="N273" s="6"/>
      <c r="O273" s="6"/>
      <c r="P273" s="6"/>
      <c r="Q273" s="6"/>
      <c r="R273" s="6"/>
    </row>
    <row r="274" spans="1:18" ht="17.25">
      <c r="A274" s="6"/>
      <c r="B274" s="242"/>
      <c r="C274" s="72" t="s">
        <v>261</v>
      </c>
      <c r="D274" s="239">
        <v>5.56</v>
      </c>
      <c r="E274" s="239">
        <v>4.0199999999999996</v>
      </c>
      <c r="F274" s="239">
        <v>9.8000000000000007</v>
      </c>
      <c r="G274" s="239">
        <v>3.96</v>
      </c>
      <c r="H274" s="239">
        <v>15.28</v>
      </c>
      <c r="I274" s="7"/>
      <c r="J274" s="6"/>
      <c r="K274" s="6"/>
      <c r="L274" s="6"/>
      <c r="M274" s="6"/>
      <c r="N274" s="6"/>
      <c r="O274" s="6"/>
      <c r="P274" s="6"/>
      <c r="Q274" s="6"/>
      <c r="R274" s="6"/>
    </row>
    <row r="275" spans="1:18" ht="28.5">
      <c r="A275" s="6"/>
      <c r="B275" s="242"/>
      <c r="C275" s="72" t="s">
        <v>262</v>
      </c>
      <c r="D275" s="239">
        <v>4.3</v>
      </c>
      <c r="E275" s="239">
        <v>3.55</v>
      </c>
      <c r="F275" s="239">
        <v>7.29</v>
      </c>
      <c r="G275" s="239">
        <v>3.23</v>
      </c>
      <c r="H275" s="239">
        <v>10.17</v>
      </c>
      <c r="I275" s="7"/>
      <c r="J275" s="6"/>
      <c r="K275" s="6"/>
      <c r="L275" s="6"/>
      <c r="M275" s="6"/>
      <c r="N275" s="6"/>
      <c r="O275" s="6"/>
      <c r="P275" s="6"/>
      <c r="Q275" s="6"/>
      <c r="R275" s="6"/>
    </row>
    <row r="276" spans="1:18" ht="17.25">
      <c r="A276" s="6"/>
      <c r="B276" s="243"/>
      <c r="C276" s="217" t="s">
        <v>102</v>
      </c>
      <c r="D276" s="330">
        <v>10.99</v>
      </c>
      <c r="E276" s="330">
        <v>8.5399999999999991</v>
      </c>
      <c r="F276" s="330">
        <v>13.51</v>
      </c>
      <c r="G276" s="330">
        <v>10.39</v>
      </c>
      <c r="H276" s="330">
        <v>11.44</v>
      </c>
      <c r="I276" s="7"/>
      <c r="J276" s="6"/>
      <c r="K276" s="6"/>
      <c r="L276" s="6"/>
      <c r="M276" s="6"/>
      <c r="N276" s="6"/>
      <c r="O276" s="6"/>
      <c r="P276" s="6"/>
      <c r="Q276" s="6"/>
      <c r="R276" s="6"/>
    </row>
    <row r="277" spans="1:18" ht="17.25">
      <c r="A277" s="6"/>
      <c r="B277" s="241" t="s">
        <v>43</v>
      </c>
      <c r="C277" s="214" t="s">
        <v>96</v>
      </c>
      <c r="D277" s="329">
        <v>5.23</v>
      </c>
      <c r="E277" s="329">
        <v>3.72</v>
      </c>
      <c r="F277" s="329">
        <v>6.83</v>
      </c>
      <c r="G277" s="329">
        <v>3.6</v>
      </c>
      <c r="H277" s="329">
        <v>13.71</v>
      </c>
      <c r="I277" s="7"/>
      <c r="J277" s="6"/>
      <c r="K277" s="6"/>
      <c r="L277" s="6"/>
      <c r="M277" s="6"/>
      <c r="N277" s="6"/>
      <c r="O277" s="6"/>
      <c r="P277" s="6"/>
      <c r="Q277" s="6"/>
      <c r="R277" s="6"/>
    </row>
    <row r="278" spans="1:18" ht="28.5">
      <c r="A278" s="6"/>
      <c r="B278" s="242"/>
      <c r="C278" s="72" t="s">
        <v>260</v>
      </c>
      <c r="D278" s="239">
        <v>6.67</v>
      </c>
      <c r="E278" s="239">
        <v>4.8</v>
      </c>
      <c r="F278" s="239">
        <v>11.92</v>
      </c>
      <c r="G278" s="239">
        <v>4.47</v>
      </c>
      <c r="H278" s="239">
        <v>21.39</v>
      </c>
      <c r="I278" s="7"/>
      <c r="J278" s="6"/>
      <c r="K278" s="6"/>
      <c r="L278" s="6"/>
      <c r="M278" s="6"/>
      <c r="N278" s="6"/>
      <c r="O278" s="6"/>
      <c r="P278" s="6"/>
      <c r="Q278" s="6"/>
      <c r="R278" s="6"/>
    </row>
    <row r="279" spans="1:18" ht="17.25">
      <c r="A279" s="6"/>
      <c r="B279" s="242"/>
      <c r="C279" s="72" t="s">
        <v>261</v>
      </c>
      <c r="D279" s="239">
        <v>3.74</v>
      </c>
      <c r="E279" s="239">
        <v>2.25</v>
      </c>
      <c r="F279" s="239">
        <v>4.93</v>
      </c>
      <c r="G279" s="239">
        <v>2.54</v>
      </c>
      <c r="H279" s="239">
        <v>10.54</v>
      </c>
      <c r="I279" s="7"/>
      <c r="J279" s="6"/>
      <c r="K279" s="6"/>
      <c r="L279" s="6"/>
      <c r="M279" s="6"/>
      <c r="N279" s="6"/>
      <c r="O279" s="6"/>
      <c r="P279" s="6"/>
      <c r="Q279" s="6"/>
      <c r="R279" s="6"/>
    </row>
    <row r="280" spans="1:18" ht="28.5">
      <c r="A280" s="6"/>
      <c r="B280" s="242"/>
      <c r="C280" s="72" t="s">
        <v>262</v>
      </c>
      <c r="D280" s="239">
        <v>5.09</v>
      </c>
      <c r="E280" s="239">
        <v>4.62</v>
      </c>
      <c r="F280" s="239">
        <v>4.3899999999999997</v>
      </c>
      <c r="G280" s="239">
        <v>4.1900000000000004</v>
      </c>
      <c r="H280" s="239">
        <v>10.29</v>
      </c>
      <c r="I280" s="7"/>
      <c r="J280" s="6"/>
      <c r="K280" s="6"/>
      <c r="L280" s="6"/>
      <c r="M280" s="6"/>
      <c r="N280" s="6"/>
      <c r="O280" s="6"/>
      <c r="P280" s="6"/>
      <c r="Q280" s="6"/>
      <c r="R280" s="6"/>
    </row>
    <row r="281" spans="1:18" ht="17.25">
      <c r="A281" s="6"/>
      <c r="B281" s="243"/>
      <c r="C281" s="217" t="s">
        <v>102</v>
      </c>
      <c r="D281" s="330">
        <v>8</v>
      </c>
      <c r="E281" s="330">
        <v>5.74</v>
      </c>
      <c r="F281" s="330">
        <v>6.65</v>
      </c>
      <c r="G281" s="330">
        <v>8.14</v>
      </c>
      <c r="H281" s="330">
        <v>9.14</v>
      </c>
      <c r="I281" s="7"/>
      <c r="J281" s="6"/>
      <c r="K281" s="6"/>
      <c r="L281" s="6"/>
      <c r="M281" s="6"/>
      <c r="N281" s="6"/>
      <c r="O281" s="6"/>
      <c r="P281" s="6"/>
      <c r="Q281" s="6"/>
      <c r="R281" s="6"/>
    </row>
    <row r="282" spans="1:18" ht="17.25">
      <c r="A282" s="6"/>
      <c r="B282" s="104" t="s">
        <v>103</v>
      </c>
      <c r="C282" s="106" t="s">
        <v>96</v>
      </c>
      <c r="D282" s="331">
        <v>7.18</v>
      </c>
      <c r="E282" s="331">
        <v>6.25</v>
      </c>
      <c r="F282" s="331">
        <v>9.5500000000000007</v>
      </c>
      <c r="G282" s="332">
        <v>5.1100000000000003</v>
      </c>
      <c r="H282" s="333">
        <v>17.29</v>
      </c>
      <c r="I282" s="7"/>
      <c r="J282" s="6"/>
      <c r="K282" s="6"/>
      <c r="L282" s="6"/>
      <c r="M282" s="6"/>
      <c r="N282" s="6"/>
      <c r="O282" s="6"/>
      <c r="P282" s="6"/>
      <c r="Q282" s="6"/>
      <c r="R282" s="6"/>
    </row>
    <row r="283" spans="1:18" ht="28.5">
      <c r="A283" s="6"/>
      <c r="B283" s="105"/>
      <c r="C283" s="72" t="s">
        <v>260</v>
      </c>
      <c r="D283" s="334">
        <v>9.24</v>
      </c>
      <c r="E283" s="334">
        <v>7.41</v>
      </c>
      <c r="F283" s="334">
        <v>16.23</v>
      </c>
      <c r="G283" s="334">
        <v>6.01</v>
      </c>
      <c r="H283" s="334">
        <v>27.86</v>
      </c>
      <c r="I283" s="7"/>
      <c r="J283" s="6"/>
      <c r="K283" s="6"/>
      <c r="L283" s="6"/>
      <c r="M283" s="6"/>
      <c r="N283" s="6"/>
      <c r="O283" s="6"/>
      <c r="P283" s="6"/>
      <c r="Q283" s="6"/>
      <c r="R283" s="6"/>
    </row>
    <row r="284" spans="1:18" ht="17.25">
      <c r="A284" s="6"/>
      <c r="B284" s="105"/>
      <c r="C284" s="72" t="s">
        <v>261</v>
      </c>
      <c r="D284" s="334">
        <v>4.8099999999999996</v>
      </c>
      <c r="E284" s="334">
        <v>3.94</v>
      </c>
      <c r="F284" s="334">
        <v>6.98</v>
      </c>
      <c r="G284" s="334">
        <v>3.1</v>
      </c>
      <c r="H284" s="334">
        <v>16.02</v>
      </c>
      <c r="I284" s="7"/>
      <c r="J284" s="6"/>
      <c r="K284" s="6"/>
      <c r="L284" s="6"/>
      <c r="M284" s="6"/>
      <c r="N284" s="6"/>
      <c r="O284" s="6"/>
      <c r="P284" s="6"/>
      <c r="Q284" s="6"/>
      <c r="R284" s="6"/>
    </row>
    <row r="285" spans="1:18" ht="28.5">
      <c r="A285" s="6"/>
      <c r="B285" s="105"/>
      <c r="C285" s="72" t="s">
        <v>262</v>
      </c>
      <c r="D285" s="334">
        <v>10.32</v>
      </c>
      <c r="E285" s="334">
        <v>10.45</v>
      </c>
      <c r="F285" s="334">
        <v>8.8699999999999992</v>
      </c>
      <c r="G285" s="334">
        <v>9.11</v>
      </c>
      <c r="H285" s="334">
        <v>17.239999999999998</v>
      </c>
      <c r="I285" s="7"/>
      <c r="J285" s="6"/>
      <c r="K285" s="6"/>
      <c r="L285" s="6"/>
      <c r="M285" s="6"/>
      <c r="N285" s="6"/>
      <c r="O285" s="6"/>
      <c r="P285" s="6"/>
      <c r="Q285" s="6"/>
      <c r="R285" s="6"/>
    </row>
    <row r="286" spans="1:18" ht="18" thickBot="1">
      <c r="A286" s="6"/>
      <c r="B286" s="96"/>
      <c r="C286" s="94" t="s">
        <v>102</v>
      </c>
      <c r="D286" s="335">
        <v>5.7</v>
      </c>
      <c r="E286" s="335">
        <v>3.94</v>
      </c>
      <c r="F286" s="335">
        <v>7.69</v>
      </c>
      <c r="G286" s="335">
        <v>7.74</v>
      </c>
      <c r="H286" s="335">
        <v>4.6900000000000004</v>
      </c>
      <c r="I286" s="7"/>
      <c r="J286" s="6"/>
      <c r="K286" s="565" t="s">
        <v>60</v>
      </c>
      <c r="L286" s="6"/>
      <c r="M286" s="6"/>
      <c r="N286" s="6"/>
      <c r="O286" s="6"/>
      <c r="P286" s="6"/>
      <c r="Q286" s="6"/>
      <c r="R286" s="6"/>
    </row>
    <row r="287" spans="1:18" ht="5.25" customHeight="1">
      <c r="A287" s="6"/>
      <c r="B287" s="6"/>
      <c r="C287" s="6"/>
      <c r="D287" s="6"/>
      <c r="E287" s="6"/>
      <c r="F287" s="6"/>
      <c r="G287" s="6"/>
      <c r="H287" s="6"/>
      <c r="I287" s="6"/>
      <c r="J287" s="6"/>
      <c r="K287" s="6"/>
      <c r="L287" s="6"/>
      <c r="M287" s="6"/>
      <c r="N287" s="6"/>
      <c r="O287" s="6"/>
      <c r="P287" s="6"/>
      <c r="Q287" s="6"/>
      <c r="R287" s="6"/>
    </row>
    <row r="288" spans="1:18" s="289" customFormat="1" ht="20.25">
      <c r="B288" s="285" t="s">
        <v>212</v>
      </c>
      <c r="C288" s="285"/>
      <c r="D288" s="290"/>
      <c r="E288" s="290"/>
      <c r="F288" s="290"/>
      <c r="G288" s="290"/>
      <c r="H288" s="290"/>
      <c r="I288" s="290"/>
      <c r="K288" s="290"/>
    </row>
    <row r="289" spans="1:18" ht="5.25" customHeight="1" thickBot="1">
      <c r="A289" s="6"/>
      <c r="B289" s="36"/>
      <c r="C289" s="36"/>
      <c r="D289" s="34"/>
      <c r="E289" s="34"/>
      <c r="F289" s="34"/>
      <c r="G289" s="34"/>
      <c r="H289" s="34"/>
      <c r="I289" s="34"/>
      <c r="J289" s="6"/>
      <c r="K289" s="6"/>
      <c r="L289" s="6"/>
      <c r="N289" s="6"/>
      <c r="O289" s="6"/>
      <c r="P289" s="6"/>
      <c r="Q289" s="6"/>
      <c r="R289" s="6"/>
    </row>
    <row r="290" spans="1:18">
      <c r="A290" s="6"/>
      <c r="B290" s="388" t="s">
        <v>374</v>
      </c>
      <c r="C290" s="388" t="s">
        <v>40</v>
      </c>
      <c r="D290" s="388" t="s">
        <v>41</v>
      </c>
      <c r="E290" s="388" t="s">
        <v>42</v>
      </c>
      <c r="F290" s="6"/>
      <c r="G290" s="6"/>
      <c r="H290" s="6"/>
      <c r="I290" s="6"/>
      <c r="J290" s="6"/>
      <c r="K290" s="6"/>
      <c r="L290" s="6"/>
      <c r="M290" s="6"/>
      <c r="N290" s="6"/>
      <c r="O290" s="6"/>
      <c r="P290" s="6"/>
      <c r="Q290" s="6"/>
      <c r="R290" s="6"/>
    </row>
    <row r="291" spans="1:18" ht="42.75">
      <c r="A291" s="6"/>
      <c r="B291" s="99" t="s">
        <v>405</v>
      </c>
      <c r="C291" s="496">
        <v>0.91639999999999999</v>
      </c>
      <c r="D291" s="496">
        <v>0.98680000000000001</v>
      </c>
      <c r="E291" s="337">
        <v>0.95909999999999995</v>
      </c>
      <c r="F291" s="6"/>
      <c r="G291" s="6"/>
      <c r="H291" s="6"/>
      <c r="I291" s="6"/>
      <c r="J291" s="6"/>
      <c r="K291" s="6"/>
      <c r="L291" s="6"/>
      <c r="M291" s="6"/>
      <c r="N291" s="6"/>
      <c r="O291" s="6"/>
      <c r="P291" s="6"/>
      <c r="Q291" s="6"/>
      <c r="R291" s="6"/>
    </row>
    <row r="292" spans="1:18" ht="28.5">
      <c r="A292" s="6"/>
      <c r="B292" s="99" t="s">
        <v>406</v>
      </c>
      <c r="C292" s="137">
        <v>1044</v>
      </c>
      <c r="D292" s="137">
        <v>1085</v>
      </c>
      <c r="E292" s="338">
        <v>1269</v>
      </c>
      <c r="F292" s="6"/>
      <c r="G292" s="6"/>
      <c r="H292" s="6"/>
      <c r="I292" s="6"/>
      <c r="J292" s="6"/>
      <c r="K292" s="6"/>
      <c r="L292" s="6"/>
      <c r="M292" s="6"/>
      <c r="N292" s="6"/>
      <c r="O292" s="6"/>
      <c r="P292" s="6"/>
      <c r="Q292" s="6"/>
      <c r="R292" s="6"/>
    </row>
    <row r="293" spans="1:18" ht="28.5">
      <c r="A293" s="6"/>
      <c r="B293" s="99" t="s">
        <v>407</v>
      </c>
      <c r="C293" s="137">
        <v>528</v>
      </c>
      <c r="D293" s="137">
        <v>590</v>
      </c>
      <c r="E293" s="338">
        <v>593</v>
      </c>
      <c r="F293" s="6"/>
      <c r="G293" s="6"/>
      <c r="H293" s="6"/>
      <c r="I293" s="6"/>
      <c r="J293" s="6"/>
      <c r="K293" s="6"/>
      <c r="L293" s="6"/>
      <c r="M293" s="6"/>
      <c r="N293" s="6"/>
      <c r="O293" s="6"/>
      <c r="P293" s="6"/>
      <c r="Q293" s="6"/>
      <c r="R293" s="6"/>
    </row>
    <row r="294" spans="1:18" ht="28.5">
      <c r="A294" s="6"/>
      <c r="B294" s="99" t="s">
        <v>408</v>
      </c>
      <c r="C294" s="137">
        <v>107</v>
      </c>
      <c r="D294" s="137">
        <v>108</v>
      </c>
      <c r="E294" s="338">
        <v>109</v>
      </c>
      <c r="F294" s="6"/>
      <c r="G294" s="6"/>
      <c r="H294" s="6"/>
      <c r="I294" s="6"/>
      <c r="J294" s="6"/>
      <c r="K294" s="6"/>
      <c r="L294" s="6"/>
      <c r="M294" s="6"/>
      <c r="N294" s="6"/>
      <c r="O294" s="6"/>
      <c r="P294" s="6"/>
      <c r="Q294" s="6"/>
      <c r="R294" s="6"/>
    </row>
    <row r="295" spans="1:18" ht="29.25" thickBot="1">
      <c r="A295" s="6"/>
      <c r="B295" s="321" t="s">
        <v>409</v>
      </c>
      <c r="C295" s="138">
        <v>139</v>
      </c>
      <c r="D295" s="138">
        <v>100</v>
      </c>
      <c r="E295" s="339">
        <v>108</v>
      </c>
      <c r="G295" s="6"/>
      <c r="H295" s="6"/>
      <c r="I295" s="6"/>
      <c r="J295" s="6"/>
      <c r="K295" s="565" t="s">
        <v>60</v>
      </c>
      <c r="L295" s="6"/>
      <c r="M295" s="6"/>
      <c r="N295" s="6"/>
      <c r="O295" s="6"/>
      <c r="P295" s="6"/>
      <c r="Q295" s="6"/>
      <c r="R295" s="6"/>
    </row>
    <row r="296" spans="1:18" ht="5.25" customHeight="1">
      <c r="A296" s="6"/>
      <c r="B296" s="6"/>
      <c r="C296" s="6"/>
      <c r="D296" s="6"/>
      <c r="E296" s="6"/>
      <c r="F296" s="6"/>
      <c r="G296" s="6"/>
      <c r="H296" s="6"/>
      <c r="I296" s="6"/>
      <c r="J296" s="6"/>
      <c r="K296" s="6"/>
      <c r="L296" s="6"/>
      <c r="M296" s="6"/>
      <c r="N296" s="6"/>
      <c r="O296" s="6"/>
      <c r="P296" s="6"/>
      <c r="Q296" s="6"/>
      <c r="R296" s="6"/>
    </row>
    <row r="297" spans="1:18" s="289" customFormat="1" ht="20.25">
      <c r="B297" s="285" t="s">
        <v>35</v>
      </c>
      <c r="C297" s="285"/>
      <c r="D297" s="290"/>
      <c r="E297" s="290"/>
      <c r="F297" s="290"/>
      <c r="G297" s="290"/>
      <c r="H297" s="290"/>
      <c r="I297" s="290"/>
      <c r="K297" s="290"/>
    </row>
    <row r="298" spans="1:18" ht="36" customHeight="1">
      <c r="B298" s="681" t="s">
        <v>410</v>
      </c>
      <c r="C298" s="681"/>
      <c r="D298" s="681"/>
      <c r="E298" s="681"/>
      <c r="F298" s="681"/>
      <c r="G298" s="681"/>
      <c r="H298" s="681"/>
      <c r="I298" s="681"/>
      <c r="J298" s="681"/>
      <c r="K298" s="681"/>
      <c r="L298" s="681"/>
      <c r="M298" s="681"/>
      <c r="N298" s="681"/>
      <c r="O298" s="681"/>
      <c r="P298" s="681"/>
    </row>
    <row r="299" spans="1:18" ht="15" customHeight="1">
      <c r="B299" s="681" t="s">
        <v>411</v>
      </c>
      <c r="C299" s="681"/>
      <c r="D299" s="681"/>
      <c r="E299" s="681"/>
      <c r="F299" s="681"/>
      <c r="G299" s="681"/>
      <c r="H299" s="681"/>
      <c r="I299" s="681"/>
      <c r="J299" s="681"/>
      <c r="K299" s="681"/>
      <c r="L299" s="681"/>
      <c r="M299" s="681"/>
      <c r="N299" s="681"/>
      <c r="O299" s="681"/>
      <c r="P299" s="681"/>
    </row>
    <row r="300" spans="1:18" ht="15" customHeight="1">
      <c r="B300" s="681" t="s">
        <v>412</v>
      </c>
      <c r="C300" s="681"/>
      <c r="D300" s="681"/>
      <c r="E300" s="681"/>
      <c r="F300" s="681"/>
      <c r="G300" s="681"/>
      <c r="H300" s="681"/>
      <c r="I300" s="681"/>
      <c r="J300" s="681"/>
      <c r="K300" s="681"/>
      <c r="L300" s="681"/>
      <c r="M300" s="681"/>
      <c r="N300" s="681"/>
      <c r="O300" s="681"/>
      <c r="P300" s="681"/>
    </row>
    <row r="301" spans="1:18" ht="15.6" customHeight="1">
      <c r="B301" s="681" t="s">
        <v>442</v>
      </c>
      <c r="C301" s="681"/>
      <c r="D301" s="681"/>
      <c r="E301" s="681"/>
      <c r="F301" s="681"/>
      <c r="G301" s="681"/>
      <c r="H301" s="681"/>
      <c r="I301" s="681"/>
      <c r="J301" s="681"/>
      <c r="K301" s="681"/>
      <c r="L301" s="681"/>
      <c r="M301" s="681"/>
      <c r="N301" s="681"/>
      <c r="O301" s="681"/>
      <c r="P301" s="681"/>
    </row>
    <row r="302" spans="1:18" ht="15.6" customHeight="1">
      <c r="B302" s="681" t="s">
        <v>445</v>
      </c>
      <c r="C302" s="681"/>
      <c r="D302" s="681"/>
      <c r="E302" s="681"/>
      <c r="F302" s="681"/>
      <c r="G302" s="681"/>
      <c r="H302" s="681"/>
      <c r="I302" s="681"/>
      <c r="J302" s="681"/>
      <c r="K302" s="681"/>
      <c r="L302" s="681"/>
      <c r="M302" s="681"/>
      <c r="N302" s="681"/>
      <c r="O302" s="681"/>
      <c r="P302" s="681"/>
    </row>
    <row r="303" spans="1:18" ht="15.6" customHeight="1">
      <c r="A303" s="6"/>
      <c r="B303" s="681" t="s">
        <v>447</v>
      </c>
      <c r="C303" s="681"/>
      <c r="D303" s="681"/>
      <c r="E303" s="681"/>
      <c r="F303" s="681"/>
      <c r="G303" s="681"/>
      <c r="H303" s="681"/>
      <c r="I303" s="681"/>
      <c r="J303" s="681"/>
      <c r="K303" s="681"/>
      <c r="L303" s="681"/>
      <c r="M303" s="681"/>
      <c r="N303" s="681"/>
      <c r="O303" s="681"/>
      <c r="P303" s="681"/>
      <c r="Q303" s="6"/>
      <c r="R303" s="6"/>
    </row>
    <row r="304" spans="1:18" ht="15.6" customHeight="1">
      <c r="A304" s="6"/>
      <c r="B304" s="681" t="s">
        <v>449</v>
      </c>
      <c r="C304" s="681"/>
      <c r="D304" s="681"/>
      <c r="E304" s="681"/>
      <c r="F304" s="681"/>
      <c r="G304" s="681"/>
      <c r="H304" s="681"/>
      <c r="I304" s="681"/>
      <c r="J304" s="681"/>
      <c r="K304" s="681"/>
      <c r="L304" s="681"/>
      <c r="M304" s="681"/>
      <c r="N304" s="681"/>
      <c r="O304" s="681"/>
      <c r="P304" s="681"/>
      <c r="Q304" s="6"/>
      <c r="R304" s="6"/>
    </row>
    <row r="305" spans="1:18" ht="15.6" customHeight="1">
      <c r="A305" s="6"/>
      <c r="B305" s="681" t="s">
        <v>451</v>
      </c>
      <c r="C305" s="681"/>
      <c r="D305" s="681"/>
      <c r="E305" s="681"/>
      <c r="F305" s="681"/>
      <c r="G305" s="681"/>
      <c r="H305" s="681"/>
      <c r="I305" s="681"/>
      <c r="J305" s="681"/>
      <c r="K305" s="681"/>
      <c r="L305" s="681"/>
      <c r="M305" s="681"/>
      <c r="N305" s="681"/>
      <c r="O305" s="681"/>
      <c r="P305" s="681"/>
      <c r="Q305" s="6"/>
      <c r="R305" s="6"/>
    </row>
    <row r="306" spans="1:18" ht="15.6" customHeight="1">
      <c r="A306" s="6"/>
      <c r="B306" s="681" t="s">
        <v>453</v>
      </c>
      <c r="C306" s="681"/>
      <c r="D306" s="681"/>
      <c r="E306" s="681"/>
      <c r="F306" s="681"/>
      <c r="G306" s="681"/>
      <c r="H306" s="681"/>
      <c r="I306" s="681"/>
      <c r="J306" s="681"/>
      <c r="K306" s="681"/>
      <c r="L306" s="681"/>
      <c r="M306" s="681"/>
      <c r="N306" s="681"/>
      <c r="O306" s="681"/>
      <c r="P306" s="681"/>
      <c r="Q306" s="6"/>
      <c r="R306" s="6"/>
    </row>
    <row r="307" spans="1:18">
      <c r="A307" s="6"/>
      <c r="B307" s="681" t="s">
        <v>454</v>
      </c>
      <c r="C307" s="681"/>
      <c r="D307" s="681"/>
      <c r="E307" s="681"/>
      <c r="F307" s="681"/>
      <c r="G307" s="681"/>
      <c r="H307" s="681"/>
      <c r="I307" s="681"/>
      <c r="J307" s="681"/>
      <c r="K307" s="681"/>
      <c r="L307" s="681"/>
      <c r="M307" s="681"/>
      <c r="N307" s="681"/>
      <c r="O307" s="681"/>
      <c r="P307" s="681"/>
      <c r="Q307" s="6"/>
      <c r="R307" s="6"/>
    </row>
    <row r="308" spans="1:18">
      <c r="A308" s="6"/>
      <c r="B308" s="681" t="s">
        <v>456</v>
      </c>
      <c r="C308" s="681"/>
      <c r="D308" s="681"/>
      <c r="E308" s="681"/>
      <c r="F308" s="681"/>
      <c r="G308" s="681"/>
      <c r="H308" s="681"/>
      <c r="I308" s="681"/>
      <c r="J308" s="681"/>
      <c r="K308" s="681"/>
      <c r="L308" s="681"/>
      <c r="M308" s="681"/>
      <c r="N308" s="681"/>
      <c r="O308" s="681"/>
      <c r="P308" s="681"/>
      <c r="Q308" s="6"/>
      <c r="R308" s="6"/>
    </row>
    <row r="309" spans="1:18">
      <c r="B309" s="681" t="s">
        <v>458</v>
      </c>
      <c r="C309" s="681"/>
      <c r="D309" s="681"/>
      <c r="E309" s="681"/>
      <c r="F309" s="681"/>
      <c r="G309" s="681"/>
      <c r="H309" s="681"/>
      <c r="I309" s="681"/>
      <c r="J309" s="681"/>
      <c r="K309" s="681"/>
      <c r="L309" s="681"/>
      <c r="M309" s="681"/>
      <c r="N309" s="681"/>
      <c r="O309" s="681"/>
      <c r="P309" s="681"/>
    </row>
    <row r="310" spans="1:18">
      <c r="B310" s="552"/>
      <c r="C310" s="552"/>
      <c r="D310" s="552"/>
      <c r="E310" s="552"/>
      <c r="F310" s="552"/>
      <c r="G310" s="552"/>
      <c r="H310" s="552"/>
      <c r="I310" s="552"/>
      <c r="J310" s="552"/>
      <c r="K310" s="552"/>
      <c r="L310" s="552"/>
      <c r="M310" s="552"/>
      <c r="N310" s="552"/>
      <c r="O310" s="552"/>
      <c r="P310" s="552"/>
    </row>
    <row r="311" spans="1:18">
      <c r="B311" s="565" t="s">
        <v>60</v>
      </c>
      <c r="C311" s="552"/>
      <c r="D311" s="552"/>
      <c r="E311" s="552"/>
      <c r="F311" s="552"/>
      <c r="G311" s="552"/>
      <c r="H311" s="552"/>
      <c r="I311" s="552"/>
      <c r="J311" s="552"/>
      <c r="K311" s="552"/>
      <c r="L311" s="552"/>
      <c r="M311" s="552"/>
      <c r="N311" s="552"/>
      <c r="O311" s="552"/>
      <c r="P311" s="552"/>
    </row>
  </sheetData>
  <mergeCells count="89">
    <mergeCell ref="B307:P307"/>
    <mergeCell ref="B308:P308"/>
    <mergeCell ref="B309:P309"/>
    <mergeCell ref="N76:N77"/>
    <mergeCell ref="C172:C174"/>
    <mergeCell ref="J76:J77"/>
    <mergeCell ref="J78:J79"/>
    <mergeCell ref="K76:K77"/>
    <mergeCell ref="L76:L77"/>
    <mergeCell ref="M76:M77"/>
    <mergeCell ref="I121:J121"/>
    <mergeCell ref="C102:D102"/>
    <mergeCell ref="C111:D111"/>
    <mergeCell ref="C121:D121"/>
    <mergeCell ref="C128:D128"/>
    <mergeCell ref="I128:J128"/>
    <mergeCell ref="M74:M75"/>
    <mergeCell ref="N74:N75"/>
    <mergeCell ref="B306:P306"/>
    <mergeCell ref="B302:P302"/>
    <mergeCell ref="B304:P304"/>
    <mergeCell ref="B300:P300"/>
    <mergeCell ref="B102:B103"/>
    <mergeCell ref="E102:F102"/>
    <mergeCell ref="B128:B129"/>
    <mergeCell ref="K102:L102"/>
    <mergeCell ref="G128:H128"/>
    <mergeCell ref="E128:F128"/>
    <mergeCell ref="J74:J75"/>
    <mergeCell ref="K74:K75"/>
    <mergeCell ref="L74:L75"/>
    <mergeCell ref="B13:E13"/>
    <mergeCell ref="B301:P301"/>
    <mergeCell ref="B303:P303"/>
    <mergeCell ref="B305:P305"/>
    <mergeCell ref="B299:P299"/>
    <mergeCell ref="G15:L15"/>
    <mergeCell ref="G16:L16"/>
    <mergeCell ref="G14:L14"/>
    <mergeCell ref="G13:L13"/>
    <mergeCell ref="I102:J102"/>
    <mergeCell ref="B111:B112"/>
    <mergeCell ref="M102:N102"/>
    <mergeCell ref="M111:N111"/>
    <mergeCell ref="G102:H102"/>
    <mergeCell ref="B31:C31"/>
    <mergeCell ref="B17:E17"/>
    <mergeCell ref="B16:E16"/>
    <mergeCell ref="B15:E15"/>
    <mergeCell ref="B14:E14"/>
    <mergeCell ref="G17:L17"/>
    <mergeCell ref="B298:P298"/>
    <mergeCell ref="K111:L111"/>
    <mergeCell ref="B121:B122"/>
    <mergeCell ref="E121:F121"/>
    <mergeCell ref="M121:N121"/>
    <mergeCell ref="G111:H111"/>
    <mergeCell ref="G121:H121"/>
    <mergeCell ref="E111:F111"/>
    <mergeCell ref="M128:N128"/>
    <mergeCell ref="K128:L128"/>
    <mergeCell ref="K121:L121"/>
    <mergeCell ref="I111:J111"/>
    <mergeCell ref="B20:E20"/>
    <mergeCell ref="G19:L19"/>
    <mergeCell ref="G18:L18"/>
    <mergeCell ref="G20:L20"/>
    <mergeCell ref="B19:E19"/>
    <mergeCell ref="B18:E18"/>
    <mergeCell ref="B30:C30"/>
    <mergeCell ref="B26:C26"/>
    <mergeCell ref="B27:C27"/>
    <mergeCell ref="B28:C28"/>
    <mergeCell ref="B29:C29"/>
    <mergeCell ref="B7:E7"/>
    <mergeCell ref="B9:E9"/>
    <mergeCell ref="B11:E11"/>
    <mergeCell ref="B4:N4"/>
    <mergeCell ref="B12:E12"/>
    <mergeCell ref="B10:E10"/>
    <mergeCell ref="B8:E8"/>
    <mergeCell ref="G12:L12"/>
    <mergeCell ref="G11:L11"/>
    <mergeCell ref="G10:L10"/>
    <mergeCell ref="G9:L9"/>
    <mergeCell ref="G8:L8"/>
    <mergeCell ref="N7:Q7"/>
    <mergeCell ref="N8:Q8"/>
    <mergeCell ref="G7:L7"/>
  </mergeCells>
  <hyperlinks>
    <hyperlink ref="A223" location="FN11BB" display="Engagement [11]" xr:uid="{00000000-0004-0000-0100-000024000000}"/>
    <hyperlink ref="B195" location="FNBP_5" display="Corporate [5]" xr:uid="{00000000-0004-0000-0100-000022000000}"/>
    <hyperlink ref="B7:E7" location="'Business Positive'!A23" display="Sharing and reusing model performance " xr:uid="{2DDE7ADA-B0F3-4758-B4AA-501725389EA1}"/>
    <hyperlink ref="B8:E8" location="'Business Positive'!A24" display="Environmental benefits delivered in customers' supply chains" xr:uid="{CD76C79E-A83C-4D98-850B-D52AF114A0D7}"/>
    <hyperlink ref="B9:E9" location="'Business Positive'!A67" display="Customer feedback" xr:uid="{41CCA878-823C-46A8-82B5-6A716A1FC2E5}"/>
    <hyperlink ref="B10:E10" location="'Business Positive'!A68" display="Global insights relationship survey" xr:uid="{03A553B9-929E-4855-B424-FE523C55A1BC}"/>
    <hyperlink ref="B11:E11" location="'Business Positive'!A73" display="People performance  - Employee Stats" xr:uid="{CDA24627-2DC4-4E32-8F79-0C8CDC3A71F2}"/>
    <hyperlink ref="B12:E12" location="'Business Positive'!A74" display="Number of employees" xr:uid="{5686DB1A-75D6-4C94-9AE1-5210789EB6DA}"/>
    <hyperlink ref="B13:E13" location="'Business Positive'!A83" display="Permanent employees by gender" xr:uid="{E0ED0ADB-C37A-4D6C-A444-F173FFF2D7E9}"/>
    <hyperlink ref="B14:E14" location="'Business Positive'!A92" display="Permanent employees by gender (management positions) as at 30 June" xr:uid="{2B13D3B0-59F4-441E-B02C-69884B9DC6D9}"/>
    <hyperlink ref="B15:E15" location="'Business Positive'!A101" display="Office v Plant ratio" xr:uid="{D0D4B42B-FB3D-43F4-803E-0620D9106748}"/>
    <hyperlink ref="B16:E16" location="'Business Positive'!A120" display="Employees by employment contract" xr:uid="{9282DB2C-1122-4FA6-BB9F-E967F788819A}"/>
    <hyperlink ref="B17:E17" location="'Business Positive'!A127" display="Employees by employment type" xr:uid="{E0798EEF-CEA5-4F34-98F3-BCE9C480C1F6}"/>
    <hyperlink ref="B18:E18" location="'Business Positive'!A134" display="Age distribution of permanent employees" xr:uid="{35EE9E1C-AE9E-4F4B-BAE8-D1DA26F9F57B}"/>
    <hyperlink ref="B19:E19" location="'Business Positive'!A170" display="Male: female salary ratios " xr:uid="{DB7ECF21-180E-4FED-9678-5FD360C84036}"/>
    <hyperlink ref="B20:E20" location="'Business Positive'!A182" display="Group employees taking parental leave during the Year" xr:uid="{5C8F3B3D-A4D6-4D3B-85D9-3C075FC7D0D4}"/>
    <hyperlink ref="G8" location="'Business Positive'!A191" display="Group employees returning from parental leave during the Year as a percentage of those who took parental leave (%)" xr:uid="{0FA81534-16E6-4FB4-B7BC-F678DBCF2FCB}"/>
    <hyperlink ref="G18:L18" location="'Business Positive'!A250" display="Inclusion &amp; Diversity" xr:uid="{A4746595-38E5-4591-BE0E-E29B4125BB45}"/>
    <hyperlink ref="G7:L7" location="'Business Positive'!A73" display="People performance  - Employee Stats continued" xr:uid="{926FB0FF-A24E-4C74-94E6-B6227BF0A962}"/>
    <hyperlink ref="G9:L9" location="'Business Positive'!A188" display="Voluntary turnover of employees" xr:uid="{7E06B347-4483-4D5A-A024-77ABF5859001}"/>
    <hyperlink ref="G10:L10" location="'Business Positive'!A197" display="Total number of employee hires" xr:uid="{79E42384-3676-40A4-BA94-90B579D9C1E7}"/>
    <hyperlink ref="G11:L11" location="'Business Positive'!A205" display="Employee hires by gender" xr:uid="{55470438-85FC-4656-B6A0-AA527B858ACC}"/>
    <hyperlink ref="G13" location="'Business Positive'!A232" display="Engagement" xr:uid="{44777C40-BC28-4CFD-88AF-8427C3876725}"/>
    <hyperlink ref="G14" location="'Business Positive'!A236" display="Brambles Injury Frequency Rate (BIFR) and Lost Time Injury Frequency Rate (LTIFR)" xr:uid="{76D4293E-B14A-40A5-A0AE-C5C9A3718846}"/>
    <hyperlink ref="G15" location="'Business Positive'!A241" display="BIFR by gender" xr:uid="{8D483FB5-916B-4AF2-89C6-E281AA00B8C6}"/>
    <hyperlink ref="G16" location="'Business Positive'!A246" display="BIFR by segment" xr:uid="{9BE23A1B-AD03-4FA1-B1DE-32B982C97AE8}"/>
    <hyperlink ref="G17" location="'Business Positive'!A254" display="Wellbeing" xr:uid="{D51AD555-1CA0-41A7-ACE8-6D98C0C4100A}"/>
    <hyperlink ref="G19:L19" location="'Business Positive'!A251" display="Brambles Pulse Survey results" xr:uid="{19DF3BC0-B248-42B5-9464-0E8A60313FBD}"/>
    <hyperlink ref="G20:L20" location="'Business Positive'!A256" display="Education, Training and Development" xr:uid="{E23922FC-44BD-42FC-BC75-6BF093688FC1}"/>
    <hyperlink ref="A24" location="'Business Positive'!B298" display="Environmental benefits delivered in customers' supply chains [1] " xr:uid="{5DB77FCC-A420-470F-B502-A05071B89F2F}"/>
    <hyperlink ref="J25" location="'Business Positive'!B299" display="FY19 (exc IFCO) [2]" xr:uid="{61C43052-3116-4E89-8F38-9895A19E5A04}"/>
    <hyperlink ref="H25" location="'Business Positive'!B300" display="FY20 (restated) [3]" xr:uid="{7DDF65C3-B353-474B-B108-2A81AF5A9E64}"/>
    <hyperlink ref="B50" location="'Business Positive'!B300" display="FY20 (restated) [3]" xr:uid="{45CF0B7A-DB24-487D-A108-E3D63E9EA563}"/>
    <hyperlink ref="G8:L8" location="'Business Positive'!A182" display="Group employees returning from parental leave during the Year " xr:uid="{AA8254E9-0C6C-4575-A3FF-1B146A04D7F0}"/>
    <hyperlink ref="G12:L12" location="'Business Positive'!A211" display="Employee hires by age group" xr:uid="{3A6BC46C-87DA-447B-AD46-A9C341090BEF}"/>
    <hyperlink ref="G13:L13" location="'Business Positive'!A223" display="Engagement" xr:uid="{91EF084A-EF91-4DF9-8EC1-7A488878C50A}"/>
    <hyperlink ref="G14:L14" location="'Business Positive'!A227" display="Brambles Injury Frequency Rate (BIFR) and Lost Time Injury Frequency Rate (LTIFR)" xr:uid="{BEEA9836-394B-46C8-BCE4-9847FE5EFF1A}"/>
    <hyperlink ref="G15:L15" location="'Business Positive'!A237" display="BIFR by gender" xr:uid="{10B30ABC-9832-4CA3-BDFD-A6BD15BDD452}"/>
    <hyperlink ref="G16:L16" location="'Business Positive'!A244" display="BIFR by segment" xr:uid="{A0C83664-EB17-454E-8ACF-7D4B80EE5418}"/>
    <hyperlink ref="G17:L17" location="'Business Positive'!A245" display="Wellbeing" xr:uid="{8AB676FD-7940-4F95-8EEA-1FBD09951F6B}"/>
    <hyperlink ref="N7:Q7" location="'Business Positive'!A288" display="Responsible Supply Chain" xr:uid="{31FBA1BE-7CA9-4680-8399-A62A62BE87D2}"/>
    <hyperlink ref="N8:Q8" location="'Business Positive'!A297" display="Footnotes" xr:uid="{3B38D0B6-EB86-44BB-845E-516D1E70DDEC}"/>
    <hyperlink ref="F69" location="'Business Positive'!B301" display="FY20 [4]" xr:uid="{A400C5FF-380C-4B22-AC55-A5030C5B13B2}"/>
    <hyperlink ref="D69" location="'Business Positive'!B302" display="FY22 [5]" xr:uid="{28C5D33F-FCB3-4926-81CA-40B750008450}"/>
    <hyperlink ref="A83" location="'Business Positive'!B303" display="Permanent employees by gender (total) (% male/female) [6]" xr:uid="{397517C9-0EEA-4BF9-BAAF-6DB2872F79F7}"/>
    <hyperlink ref="B195" location="'Business Positive'!B304" display="Corporate [7]" xr:uid="{D761AA56-439E-4FC9-BF8F-B024601DE775}"/>
    <hyperlink ref="B212" location="'Business Positive'!A305" display="Age[8]" xr:uid="{68F09A77-D137-4C40-8702-212E2F96A7C8}"/>
    <hyperlink ref="G212" location="'Business Positive'!A305" display="Age[8]" xr:uid="{93BED7F6-3E4D-4BE4-9723-5ABE6B85E3CD}"/>
    <hyperlink ref="A134" location="'Business Positive'!A308" display="Age distribution of permanent employees (%) [9]" xr:uid="{C19AD091-058B-4CD6-B0A6-8737FE8AF611}"/>
    <hyperlink ref="B305:P305" location="'Business Positive'!B212" display="[8] Age categories updated in alignment with our internal system for ease of reporting" xr:uid="{F06F0153-9577-4905-AC54-4EB67BA03118}"/>
    <hyperlink ref="B304:P304" location="'Business Positive'!B195" display="[7] Included Containers Aerospace, Oil &amp; Gas and LeanLogistics Prior to their divestment" xr:uid="{1F32E369-642B-4D26-95A4-EA270952BE55}"/>
    <hyperlink ref="B303:P303" location="'Business Positive'!A83" display="[6] Totals not equaling 100 due to some employees' gender being undeclared" xr:uid="{0C7FE556-8343-4773-BFDB-D00EAA850BDC}"/>
    <hyperlink ref="B302:P302" location="'Business Positive'!D69" display="[6] In FY22 the methodology changed from quarterly 2-year cycle to six-monthly annual cycle and from 80% revenue to 100% sampling of contacts in Salesforce. This resulted in responses in FY22 being more than double the responses in FY21." xr:uid="{9D4EE053-5F65-43D5-8055-16CEA42B5E7C}"/>
    <hyperlink ref="B301:P301" location="'Business Positive'!F69" display="[4] FY20 Note: Due to the pandemic of COVID-19, many markets opted for not launching the Relationship Survey in the last quarter of FY20 (FY20_Q4). Only NA and Australia - Pallet and Pallecon invited customers to participate in the survey in May-June 2020." xr:uid="{CA981BC9-AEDA-4477-BCCE-2F1DCB285F79}"/>
    <hyperlink ref="B300:P300" location="'Business Positive'!H25" display="[3] FY20 data was restated due to a more recent LCA study undertaken in the US" xr:uid="{3757DB37-35C4-4EA2-80CB-192B718A1F58}"/>
    <hyperlink ref="B299:P299" location="'Business Positive'!J25" display="[2] 2019 LCA savings were re-calculated and restated. The restatement was performed in 2020  to remediate an issue with LCA allocation." xr:uid="{6D1DFC42-B846-47C4-9E58-E02EDED01513}"/>
    <hyperlink ref="B298:P298" location="'Business Positive'!A24" display="'Business Positive'!A24" xr:uid="{C3BB3132-57FE-480F-899C-0AB75FE455C7}"/>
    <hyperlink ref="B256" location="'Business Positive'!B306" display="Education, Training and Development [9&amp;10]" xr:uid="{98BC8CC9-6FFD-4486-A6A2-0D7D634B7BCE}"/>
    <hyperlink ref="B306:P306" location="'Business Positive'!B256" display="[9] Prior to FY21, this dataset was reported as days rather than hours.  The reason for the change is the Workday system has better capability to report in hours, this gives a clearer less error prone process" xr:uid="{FE3E6062-02D4-4366-87F5-531626835476}"/>
    <hyperlink ref="B307" location="'Business Positive'!B256" display="[10] Data reported excludes any offline training, figures reported are directly from Brambles Learning Management System (LMS)" xr:uid="{6BAD5643-5C5E-4A5D-9846-63B7C44C4F9F}"/>
    <hyperlink ref="K295" location="'Business Positive'!A1" display="Back to top" xr:uid="{E8D3331D-A705-4790-A3F1-4AC98FDD354A}"/>
    <hyperlink ref="K286" location="'Business Positive'!A1" display="Back to top" xr:uid="{51B4C620-478F-4D8D-A803-3B20348A3892}"/>
    <hyperlink ref="K254" location="'Business Positive'!A1" display="Back to top" xr:uid="{AF7ECEBC-9DA9-42E8-9512-D99A46086B23}"/>
    <hyperlink ref="K248" location="'Business Positive'!A1" display="Back to top" xr:uid="{4B7CB06C-ED6B-4FB2-A494-AA651F485A92}"/>
    <hyperlink ref="K71" location="'Business Positive'!A1" display="Back to top" xr:uid="{653AC70F-62C3-48B0-8983-ECDEDDCC0DC8}"/>
    <hyperlink ref="K65" location="'Business Positive'!A1" display="Back to top" xr:uid="{D538A56D-9B7F-4397-980B-14F0911C8AB5}"/>
    <hyperlink ref="K99" location="'Business Positive'!A1" display="Back to top" xr:uid="{0A80EE07-6B8D-4D44-BD5E-FFF1DDA81B56}"/>
    <hyperlink ref="K168" location="'Business Positive'!A1" display="Back to top" xr:uid="{9EB00758-6178-415D-AAAA-8ACD2342C4DD}"/>
    <hyperlink ref="K195" location="'Business Positive'!A1" display="Back to top" xr:uid="{F15F8BCF-21A3-4738-909A-6B6D55A03041}"/>
    <hyperlink ref="K230" location="'Business Positive'!A1" display="Back to top" xr:uid="{86823B7F-D5B0-4855-9CB2-64613D718938}"/>
    <hyperlink ref="B311" location="'Business Positive'!A1" display="Back to top" xr:uid="{E2855A0B-C3CF-4163-8E54-CEEB07AB28F0}"/>
    <hyperlink ref="B308" location="'Business Positive'!C69" display="[11] FY23 Note: As of Sept 2022 there was a change of survey methodology to a waveless format, surveying 100% of customers in an annual basis" xr:uid="{B3C1383F-B3D2-4582-8EA1-C3393BDC8666}"/>
    <hyperlink ref="C69" location="'Business Positive'!B308" display="FY23 [11]" xr:uid="{A6E48EB6-15A7-4B91-AE61-D8013B296DCB}"/>
    <hyperlink ref="B309" location="'Business Positive'!C258" display="[12] excludes a course called EMPOWER: Giving Feedback for Collaboration due to correction required on course duration" xr:uid="{658F2C97-B198-4BC0-94D1-F815A8619FBD}"/>
    <hyperlink ref="C258" location="'Business Positive'!B309" display="FY23 [12]" xr:uid="{F679168E-7531-401D-88F7-39FF8D0E870B}"/>
  </hyperlinks>
  <pageMargins left="0.7" right="0.7" top="0.75" bottom="0.75" header="0.3" footer="0.3"/>
  <pageSetup paperSize="9" orientation="portrait" r:id="rId1"/>
  <headerFooter>
    <oddFooter>&amp;C_x000D_&amp;1#&amp;"Calibri"&amp;8&amp;K000000 Classification: General</oddFooter>
  </headerFooter>
  <drawing r:id="rId2"/>
  <legacyDrawing r:id="rId3"/>
  <oleObjects>
    <mc:AlternateContent xmlns:mc="http://schemas.openxmlformats.org/markup-compatibility/2006">
      <mc:Choice Requires="x14">
        <oleObject progId="Bitmap Image" shapeId="5121" r:id="rId4">
          <objectPr defaultSize="0" autoPict="0" r:id="rId5">
            <anchor moveWithCells="1">
              <from>
                <xdr:col>8</xdr:col>
                <xdr:colOff>209550</xdr:colOff>
                <xdr:row>0</xdr:row>
                <xdr:rowOff>152400</xdr:rowOff>
              </from>
              <to>
                <xdr:col>9</xdr:col>
                <xdr:colOff>76200</xdr:colOff>
                <xdr:row>0</xdr:row>
                <xdr:rowOff>1076325</xdr:rowOff>
              </to>
            </anchor>
          </objectPr>
        </oleObject>
      </mc:Choice>
      <mc:Fallback>
        <oleObject progId="Bitmap Image" shapeId="5121"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00B0F0"/>
  </sheetPr>
  <dimension ref="A1:N43"/>
  <sheetViews>
    <sheetView showGridLines="0" zoomScaleNormal="100" workbookViewId="0">
      <selection activeCell="A40" sqref="A40"/>
    </sheetView>
  </sheetViews>
  <sheetFormatPr defaultColWidth="9" defaultRowHeight="15.75"/>
  <cols>
    <col min="1" max="1" width="2.625" style="60" customWidth="1"/>
    <col min="2" max="2" width="30" customWidth="1"/>
    <col min="3" max="8" width="12" customWidth="1"/>
    <col min="9" max="9" width="11" customWidth="1"/>
    <col min="10" max="10" width="11.875" customWidth="1"/>
  </cols>
  <sheetData>
    <row r="1" spans="1:14" s="275" customFormat="1">
      <c r="A1" s="274"/>
    </row>
    <row r="2" spans="1:14" s="275" customFormat="1" ht="93" customHeight="1">
      <c r="A2" s="274"/>
      <c r="B2" s="276" t="s">
        <v>413</v>
      </c>
      <c r="C2" s="274"/>
      <c r="D2" s="274"/>
      <c r="E2" s="274"/>
      <c r="F2" s="274"/>
      <c r="G2" s="274"/>
      <c r="H2" s="274"/>
      <c r="I2" s="274"/>
      <c r="J2" s="274"/>
      <c r="K2" s="274"/>
      <c r="L2" s="274"/>
      <c r="M2" s="274"/>
      <c r="N2" s="274"/>
    </row>
    <row r="3" spans="1:14">
      <c r="A3" s="6"/>
      <c r="B3" t="s">
        <v>1</v>
      </c>
      <c r="C3" s="200">
        <v>45183</v>
      </c>
      <c r="D3" s="6"/>
      <c r="E3" s="6"/>
      <c r="F3" s="6"/>
      <c r="G3" s="6"/>
      <c r="H3" s="6"/>
      <c r="I3" s="6"/>
      <c r="J3" s="6"/>
      <c r="K3" s="6"/>
      <c r="L3" s="6"/>
    </row>
    <row r="4" spans="1:14">
      <c r="B4" t="s">
        <v>174</v>
      </c>
      <c r="C4" s="5"/>
      <c r="D4" s="6"/>
      <c r="E4" s="6"/>
      <c r="F4" s="6"/>
      <c r="G4" s="6"/>
      <c r="H4" s="6"/>
      <c r="I4" s="6"/>
      <c r="J4" s="6"/>
      <c r="K4" s="6"/>
      <c r="L4" s="6"/>
    </row>
    <row r="5" spans="1:14">
      <c r="A5" s="6"/>
      <c r="B5" s="663" t="s">
        <v>3</v>
      </c>
      <c r="C5" s="663"/>
      <c r="D5" s="663"/>
      <c r="E5" s="663"/>
      <c r="F5" s="663"/>
      <c r="G5" s="663"/>
      <c r="H5" s="663"/>
      <c r="I5" s="663"/>
      <c r="J5" s="663"/>
      <c r="K5" s="663"/>
      <c r="L5" s="663"/>
      <c r="M5" s="663"/>
      <c r="N5" s="663"/>
    </row>
    <row r="6" spans="1:14" s="275" customFormat="1" ht="17.25">
      <c r="B6" s="483" t="s">
        <v>4</v>
      </c>
    </row>
    <row r="7" spans="1:14">
      <c r="B7" s="623" t="s">
        <v>414</v>
      </c>
      <c r="C7" s="567"/>
      <c r="D7" s="624" t="s">
        <v>415</v>
      </c>
      <c r="E7" s="568"/>
      <c r="F7" s="568"/>
      <c r="G7" s="624" t="s">
        <v>35</v>
      </c>
      <c r="H7" s="568"/>
    </row>
    <row r="8" spans="1:14">
      <c r="B8" s="623" t="s">
        <v>416</v>
      </c>
      <c r="C8" s="567"/>
      <c r="D8" s="624" t="s">
        <v>417</v>
      </c>
      <c r="E8" s="568"/>
      <c r="F8" s="568"/>
      <c r="G8" s="568"/>
      <c r="H8" s="568"/>
    </row>
    <row r="10" spans="1:14" s="275" customFormat="1" ht="17.25">
      <c r="A10" s="274"/>
      <c r="B10" s="277" t="s">
        <v>418</v>
      </c>
      <c r="C10" s="277"/>
      <c r="D10" s="278"/>
      <c r="E10" s="278"/>
      <c r="F10" s="278"/>
      <c r="G10" s="278"/>
      <c r="H10" s="278"/>
    </row>
    <row r="11" spans="1:14" ht="16.5" thickBot="1"/>
    <row r="12" spans="1:14">
      <c r="B12" s="345" t="s">
        <v>419</v>
      </c>
      <c r="C12" s="343" t="s">
        <v>40</v>
      </c>
      <c r="D12" s="343" t="s">
        <v>41</v>
      </c>
      <c r="E12" s="343" t="s">
        <v>42</v>
      </c>
      <c r="F12" s="343" t="s">
        <v>43</v>
      </c>
    </row>
    <row r="13" spans="1:14">
      <c r="B13" s="86" t="s">
        <v>96</v>
      </c>
      <c r="C13" s="344">
        <v>19716653</v>
      </c>
      <c r="D13" s="344">
        <f>SUM(D14:D16)</f>
        <v>16216021</v>
      </c>
      <c r="E13" s="344">
        <v>17425891</v>
      </c>
      <c r="F13" s="344">
        <v>16096617</v>
      </c>
    </row>
    <row r="14" spans="1:14">
      <c r="B14" s="93" t="s">
        <v>46</v>
      </c>
      <c r="C14" s="346">
        <v>15473645</v>
      </c>
      <c r="D14" s="346">
        <v>9991960</v>
      </c>
      <c r="E14" s="346">
        <v>12294635</v>
      </c>
      <c r="F14" s="346">
        <v>11750303</v>
      </c>
    </row>
    <row r="15" spans="1:14">
      <c r="B15" s="93" t="s">
        <v>47</v>
      </c>
      <c r="C15" s="346">
        <v>2454498</v>
      </c>
      <c r="D15" s="346">
        <v>2170019</v>
      </c>
      <c r="E15" s="346">
        <v>2158414</v>
      </c>
      <c r="F15" s="346">
        <v>1541127</v>
      </c>
    </row>
    <row r="16" spans="1:14" ht="16.5" thickBot="1">
      <c r="B16" s="94" t="s">
        <v>48</v>
      </c>
      <c r="C16" s="347">
        <v>1788510</v>
      </c>
      <c r="D16" s="347">
        <v>4054042</v>
      </c>
      <c r="E16" s="347">
        <v>2972842</v>
      </c>
      <c r="F16" s="347">
        <v>2805187</v>
      </c>
    </row>
    <row r="17" spans="1:13">
      <c r="B17" s="41"/>
    </row>
    <row r="18" spans="1:13" s="275" customFormat="1" ht="17.25">
      <c r="A18" s="274"/>
      <c r="B18" s="277" t="s">
        <v>416</v>
      </c>
      <c r="C18" s="277"/>
      <c r="D18" s="278"/>
      <c r="E18" s="278"/>
      <c r="F18" s="278"/>
      <c r="G18" s="278"/>
      <c r="H18" s="278"/>
    </row>
    <row r="19" spans="1:13" ht="16.5" thickBot="1"/>
    <row r="20" spans="1:13">
      <c r="B20" s="345" t="s">
        <v>374</v>
      </c>
      <c r="C20" s="345" t="s">
        <v>420</v>
      </c>
      <c r="D20" s="343" t="s">
        <v>40</v>
      </c>
      <c r="E20" s="484" t="s">
        <v>421</v>
      </c>
      <c r="F20" s="343" t="s">
        <v>42</v>
      </c>
    </row>
    <row r="21" spans="1:13" ht="29.25" thickBot="1">
      <c r="B21" s="94" t="s">
        <v>422</v>
      </c>
      <c r="C21" s="347">
        <v>903500</v>
      </c>
      <c r="D21" s="347">
        <v>304095</v>
      </c>
      <c r="E21" s="347">
        <v>504305</v>
      </c>
      <c r="F21" s="347">
        <v>95100</v>
      </c>
    </row>
    <row r="22" spans="1:13" ht="16.5" thickBot="1"/>
    <row r="23" spans="1:13" s="275" customFormat="1" ht="18" thickBot="1">
      <c r="A23" s="274"/>
      <c r="B23" s="277" t="s">
        <v>423</v>
      </c>
      <c r="C23" s="277"/>
      <c r="D23" s="501"/>
      <c r="E23" s="278"/>
      <c r="F23" s="278"/>
      <c r="G23" s="278"/>
      <c r="H23" s="278"/>
    </row>
    <row r="24" spans="1:13" ht="8.4499999999999993" customHeight="1" thickBot="1">
      <c r="B24" s="35"/>
      <c r="C24" s="35"/>
      <c r="D24" s="34"/>
      <c r="E24" s="34"/>
      <c r="F24" s="34"/>
      <c r="G24" s="34"/>
      <c r="H24" s="34"/>
      <c r="I24" s="6"/>
      <c r="J24" s="6"/>
      <c r="K24" s="6"/>
    </row>
    <row r="25" spans="1:13" ht="28.5">
      <c r="B25" s="57"/>
      <c r="C25" s="49" t="s">
        <v>40</v>
      </c>
      <c r="D25" s="49" t="s">
        <v>41</v>
      </c>
      <c r="E25" s="49" t="s">
        <v>42</v>
      </c>
      <c r="F25" s="49" t="s">
        <v>43</v>
      </c>
      <c r="G25" s="49" t="s">
        <v>44</v>
      </c>
      <c r="H25" s="49" t="s">
        <v>45</v>
      </c>
      <c r="I25" s="6"/>
      <c r="J25" s="6"/>
      <c r="K25" s="6"/>
      <c r="L25" s="6"/>
      <c r="M25" s="6"/>
    </row>
    <row r="26" spans="1:13">
      <c r="B26" s="59" t="s">
        <v>424</v>
      </c>
      <c r="C26" s="159">
        <v>1854412.68</v>
      </c>
      <c r="D26" s="159">
        <v>1396659</v>
      </c>
      <c r="E26" s="159">
        <v>1007878.06</v>
      </c>
      <c r="F26" s="159" t="s">
        <v>425</v>
      </c>
      <c r="G26" s="159">
        <v>1056845.4422840299</v>
      </c>
      <c r="H26" s="159">
        <v>1143124.1409970298</v>
      </c>
      <c r="I26" s="6"/>
      <c r="J26" s="6"/>
      <c r="K26" s="6"/>
      <c r="L26" s="6"/>
      <c r="M26" s="6"/>
    </row>
    <row r="27" spans="1:13">
      <c r="B27" s="59" t="s">
        <v>426</v>
      </c>
      <c r="C27" s="159">
        <v>5016076</v>
      </c>
      <c r="D27" s="159">
        <v>4290121.21</v>
      </c>
      <c r="E27" s="159">
        <v>4063198</v>
      </c>
      <c r="F27" s="159" t="s">
        <v>427</v>
      </c>
      <c r="G27" s="159">
        <v>2781638.4377199882</v>
      </c>
      <c r="H27" s="159">
        <v>2866011.9162429883</v>
      </c>
      <c r="I27" s="6"/>
      <c r="J27" s="6"/>
      <c r="K27" s="6"/>
      <c r="L27" s="6"/>
      <c r="M27" s="6"/>
    </row>
    <row r="28" spans="1:13">
      <c r="B28" s="59" t="s">
        <v>428</v>
      </c>
      <c r="C28" s="159">
        <v>897728</v>
      </c>
      <c r="D28" s="159">
        <v>555527</v>
      </c>
      <c r="E28" s="159">
        <v>424297</v>
      </c>
      <c r="F28" s="159" t="s">
        <v>429</v>
      </c>
      <c r="G28" s="159">
        <v>582544.04860765673</v>
      </c>
      <c r="H28" s="159">
        <v>591281.80556357966</v>
      </c>
      <c r="I28" s="6"/>
      <c r="J28" s="6"/>
      <c r="K28" s="6"/>
      <c r="L28" s="6"/>
      <c r="M28" s="6"/>
    </row>
    <row r="29" spans="1:13">
      <c r="B29" s="58" t="s">
        <v>430</v>
      </c>
      <c r="C29" s="160">
        <f>SUM(C26:C28)</f>
        <v>7768216.6799999997</v>
      </c>
      <c r="D29" s="160">
        <f>SUM(D26:D28)</f>
        <v>6242307.21</v>
      </c>
      <c r="E29" s="160">
        <v>5495373.0599999996</v>
      </c>
      <c r="F29" s="160" t="s">
        <v>431</v>
      </c>
      <c r="G29" s="160">
        <v>4421027.9286116753</v>
      </c>
      <c r="H29" s="160">
        <v>4600417.8628035979</v>
      </c>
      <c r="I29" s="6"/>
      <c r="J29" s="6"/>
      <c r="K29" s="6"/>
      <c r="L29" s="6"/>
      <c r="M29" s="6"/>
    </row>
    <row r="30" spans="1:13">
      <c r="B30" s="61" t="s">
        <v>432</v>
      </c>
      <c r="C30" s="159">
        <v>934200000</v>
      </c>
      <c r="D30" s="159">
        <v>819900000</v>
      </c>
      <c r="E30" s="159">
        <v>793700000</v>
      </c>
      <c r="F30" s="159" t="s">
        <v>433</v>
      </c>
      <c r="G30" s="159">
        <v>652400000</v>
      </c>
      <c r="H30" s="159">
        <v>1726000000</v>
      </c>
      <c r="I30" s="6"/>
      <c r="J30" s="6"/>
      <c r="K30" s="6"/>
      <c r="L30" s="6"/>
      <c r="M30" s="6"/>
    </row>
    <row r="31" spans="1:13" ht="15.75" customHeight="1" thickBot="1">
      <c r="B31" s="62" t="s">
        <v>434</v>
      </c>
      <c r="C31" s="158">
        <f>C29/C30</f>
        <v>8.3153678869621068E-3</v>
      </c>
      <c r="D31" s="158">
        <f>D29/D30</f>
        <v>7.6134982436882543E-3</v>
      </c>
      <c r="E31" s="158">
        <f>E29/E30</f>
        <v>6.9237407836714119E-3</v>
      </c>
      <c r="F31" s="158">
        <v>7.9000000000000008E-3</v>
      </c>
      <c r="G31" s="158">
        <f>G29/G30</f>
        <v>6.776560282973138E-3</v>
      </c>
      <c r="H31" s="158">
        <f>H29/H30</f>
        <v>2.6653637675571251E-3</v>
      </c>
      <c r="I31" s="6"/>
      <c r="J31" s="6"/>
      <c r="K31" s="6"/>
      <c r="L31" s="6"/>
      <c r="M31" s="6"/>
    </row>
    <row r="32" spans="1:13" ht="4.5" customHeight="1">
      <c r="B32" s="36"/>
      <c r="C32" s="36"/>
      <c r="D32" s="37"/>
      <c r="E32" s="37"/>
      <c r="F32" s="34"/>
      <c r="G32" s="34"/>
      <c r="H32" s="34"/>
      <c r="I32" s="6"/>
      <c r="J32" s="6"/>
      <c r="K32" s="6"/>
    </row>
    <row r="33" spans="1:13" s="275" customFormat="1" ht="17.25">
      <c r="A33" s="274"/>
      <c r="B33" s="277" t="s">
        <v>435</v>
      </c>
      <c r="C33" s="277"/>
      <c r="D33" s="278"/>
      <c r="E33" s="278"/>
      <c r="F33" s="278"/>
      <c r="G33" s="278"/>
      <c r="H33" s="278"/>
    </row>
    <row r="34" spans="1:13" ht="7.35" customHeight="1" thickBot="1">
      <c r="B34" s="38"/>
      <c r="C34" s="38"/>
      <c r="D34" s="7"/>
      <c r="E34" s="7"/>
      <c r="F34" s="7"/>
      <c r="G34" s="7"/>
      <c r="H34" s="7"/>
    </row>
    <row r="35" spans="1:13" ht="28.5">
      <c r="B35" s="56"/>
      <c r="C35" s="343" t="s">
        <v>40</v>
      </c>
      <c r="D35" s="343" t="s">
        <v>41</v>
      </c>
      <c r="E35" s="485" t="s">
        <v>436</v>
      </c>
      <c r="F35" s="282" t="s">
        <v>437</v>
      </c>
      <c r="G35" s="49" t="s">
        <v>44</v>
      </c>
      <c r="H35" s="49" t="s">
        <v>45</v>
      </c>
      <c r="I35" s="260"/>
      <c r="J35" s="260"/>
      <c r="K35" s="6"/>
      <c r="L35" s="6"/>
      <c r="M35" s="6"/>
    </row>
    <row r="36" spans="1:13" ht="15.75" customHeight="1">
      <c r="B36" s="476" t="s">
        <v>438</v>
      </c>
      <c r="C36" s="506">
        <v>1.8633741326888595</v>
      </c>
      <c r="D36" s="506">
        <f>D37/'Business Positive'!D76</f>
        <v>1.2024154980951609</v>
      </c>
      <c r="E36" s="477">
        <v>0.95</v>
      </c>
      <c r="F36" s="478">
        <v>1.42</v>
      </c>
      <c r="G36" s="479">
        <v>1.91</v>
      </c>
      <c r="H36" s="479">
        <v>1.7802599443266707</v>
      </c>
      <c r="I36" s="260"/>
      <c r="J36" s="260"/>
      <c r="K36" s="6"/>
      <c r="L36" s="6"/>
      <c r="M36" s="6"/>
    </row>
    <row r="37" spans="1:13" ht="16.350000000000001" customHeight="1" thickBot="1">
      <c r="B37" s="480" t="s">
        <v>439</v>
      </c>
      <c r="C37" s="481">
        <v>23901.5</v>
      </c>
      <c r="D37" s="481">
        <v>14834.2</v>
      </c>
      <c r="E37" s="481">
        <v>11404.49</v>
      </c>
      <c r="F37" s="481">
        <v>17020</v>
      </c>
      <c r="G37" s="482">
        <v>21602</v>
      </c>
      <c r="H37" s="482">
        <v>21904</v>
      </c>
      <c r="I37" s="260"/>
      <c r="J37" s="260"/>
      <c r="K37" s="6"/>
      <c r="L37" s="6"/>
      <c r="M37" s="6"/>
    </row>
    <row r="38" spans="1:13" ht="4.5" customHeight="1">
      <c r="B38" s="258"/>
      <c r="D38" s="259"/>
      <c r="E38" s="259"/>
      <c r="F38" s="259"/>
      <c r="G38" s="259"/>
      <c r="H38" s="260"/>
      <c r="I38" s="260"/>
      <c r="J38" s="260"/>
      <c r="K38" s="6"/>
      <c r="L38" s="6"/>
      <c r="M38" s="6"/>
    </row>
    <row r="39" spans="1:13" s="279" customFormat="1" ht="20.25">
      <c r="B39" s="280" t="s">
        <v>35</v>
      </c>
      <c r="C39" s="280"/>
      <c r="D39" s="281"/>
      <c r="E39" s="281"/>
      <c r="F39" s="281"/>
      <c r="G39" s="281"/>
      <c r="H39" s="281"/>
      <c r="I39" s="281"/>
      <c r="K39" s="281"/>
    </row>
    <row r="40" spans="1:13">
      <c r="B40" s="643" t="s">
        <v>440</v>
      </c>
    </row>
    <row r="41" spans="1:13">
      <c r="B41" s="643" t="s">
        <v>441</v>
      </c>
    </row>
    <row r="42" spans="1:13">
      <c r="B42" s="642"/>
    </row>
    <row r="43" spans="1:13">
      <c r="B43" s="63" t="s">
        <v>60</v>
      </c>
    </row>
  </sheetData>
  <mergeCells count="1">
    <mergeCell ref="B5:N5"/>
  </mergeCells>
  <hyperlinks>
    <hyperlink ref="B7" location="'Communities Positive'!A10" display="Food Positive" xr:uid="{1CB00A60-8F2D-41C4-8CB1-8E5690D5C505}"/>
    <hyperlink ref="B8" location="'Communities Positive'!A18" display="Circular Economy Transformation" xr:uid="{10E8FFF3-E5C6-4C09-96EA-74BD41D1DD51}"/>
    <hyperlink ref="E20" location="'Communities Positive'!A40" display="FY22 [1]" xr:uid="{976DB9B9-1026-48F9-A90F-BE177B1D0899}"/>
    <hyperlink ref="E35" location="'Communities Positive'!A41" display="FY21[2]" xr:uid="{BD4DFA4F-AE64-4B3E-8132-BAE10FEAC279}"/>
    <hyperlink ref="B41" location="'Communities Positive'!E35" display="[2] FY21&amp;20 were severely impacted by covid-19 lockdowns implemented worldwide" xr:uid="{D55CD298-C606-42E4-AA8F-7A8B49FD051A}"/>
    <hyperlink ref="B40" location="'Communities Positive'!E20" display="[1] Updated methodology to include social media reach" xr:uid="{133E126A-05AA-4547-9564-8A78EFAA6E0D}"/>
    <hyperlink ref="G7" location="'Communities Positive'!A39" display="Footnotes" xr:uid="{FC86BFF8-D283-4E20-9734-466403952B4E}"/>
    <hyperlink ref="B43" location="'Communities Positive'!A1" display="Back to top" xr:uid="{172B7F31-EBE9-45D0-B648-A7C113103E3A}"/>
    <hyperlink ref="D7" location="'Communities Positive'!A23" display="Brambles Community Investment " xr:uid="{3B54D1D1-CD1B-4D2D-8601-F71C149E54D8}"/>
    <hyperlink ref="D8" location="'Communities Positive'!A33" display="Volunteering Hours" xr:uid="{AEF4C2B4-BF1F-4776-82D6-12DB9B27E98F}"/>
  </hyperlinks>
  <pageMargins left="0.7" right="0.7" top="0.75" bottom="0.75" header="0.3" footer="0.3"/>
  <pageSetup paperSize="9" orientation="portrait" horizontalDpi="4294967294" verticalDpi="0" r:id="rId1"/>
  <headerFooter>
    <oddFooter>&amp;C_x000D_&amp;1#&amp;"Calibri"&amp;8&amp;K000000 Classification: General</oddFooter>
  </headerFooter>
  <drawing r:id="rId2"/>
  <legacyDrawing r:id="rId3"/>
  <oleObjects>
    <mc:AlternateContent xmlns:mc="http://schemas.openxmlformats.org/markup-compatibility/2006">
      <mc:Choice Requires="x14">
        <oleObject progId="Bitmap Image" shapeId="4097" r:id="rId4">
          <objectPr defaultSize="0" r:id="rId5">
            <anchor moveWithCells="1">
              <from>
                <xdr:col>8</xdr:col>
                <xdr:colOff>9525</xdr:colOff>
                <xdr:row>0</xdr:row>
                <xdr:rowOff>76200</xdr:rowOff>
              </from>
              <to>
                <xdr:col>9</xdr:col>
                <xdr:colOff>409575</xdr:colOff>
                <xdr:row>1</xdr:row>
                <xdr:rowOff>1123950</xdr:rowOff>
              </to>
            </anchor>
          </objectPr>
        </oleObject>
      </mc:Choice>
      <mc:Fallback>
        <oleObject progId="Bitmap Image" shapeId="4097" r:id="rId4"/>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90162f1-cb38-4b7d-bec0-649659a3a3a5">
      <Terms xmlns="http://schemas.microsoft.com/office/infopath/2007/PartnerControls"/>
    </lcf76f155ced4ddcb4097134ff3c332f>
    <TaxCatchAll xmlns="34f1d843-956e-4cb1-a90e-303c4cad7799" xsi:nil="true"/>
    <SharedWithUsers xmlns="34f1d843-956e-4cb1-a90e-303c4cad7799">
      <UserInfo>
        <DisplayName/>
        <AccountId xsi:nil="true"/>
        <AccountType/>
      </UserInfo>
    </SharedWithUsers>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949E9D1F3404C48BE253433F3ACEA89" ma:contentTypeVersion="19" ma:contentTypeDescription="Create a new document." ma:contentTypeScope="" ma:versionID="c5430af79b3deba24801dd3adaf817ea">
  <xsd:schema xmlns:xsd="http://www.w3.org/2001/XMLSchema" xmlns:xs="http://www.w3.org/2001/XMLSchema" xmlns:p="http://schemas.microsoft.com/office/2006/metadata/properties" xmlns:ns1="http://schemas.microsoft.com/sharepoint/v3" xmlns:ns2="490162f1-cb38-4b7d-bec0-649659a3a3a5" xmlns:ns3="34f1d843-956e-4cb1-a90e-303c4cad7799" targetNamespace="http://schemas.microsoft.com/office/2006/metadata/properties" ma:root="true" ma:fieldsID="eb2d2bcf5083852d8e52983ffbbc581c" ns1:_="" ns2:_="" ns3:_="">
    <xsd:import namespace="http://schemas.microsoft.com/sharepoint/v3"/>
    <xsd:import namespace="490162f1-cb38-4b7d-bec0-649659a3a3a5"/>
    <xsd:import namespace="34f1d843-956e-4cb1-a90e-303c4cad779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3:SharedWithUsers" minOccurs="0"/>
                <xsd:element ref="ns3:SharedWithDetails" minOccurs="0"/>
                <xsd:element ref="ns2:MediaServiceDateTaken" minOccurs="0"/>
                <xsd:element ref="ns2:MediaServiceEventHashCode" minOccurs="0"/>
                <xsd:element ref="ns2:MediaServiceGenerationTime" minOccurs="0"/>
                <xsd:element ref="ns2:MediaServiceAutoKeyPoints" minOccurs="0"/>
                <xsd:element ref="ns2:MediaServiceKeyPoints" minOccurs="0"/>
                <xsd:element ref="ns2:MediaServiceLocation" minOccurs="0"/>
                <xsd:element ref="ns1:_ip_UnifiedCompliancePolicyProperties" minOccurs="0"/>
                <xsd:element ref="ns1:_ip_UnifiedCompliancePolicyUIAction" minOccurs="0"/>
                <xsd:element ref="ns2:lcf76f155ced4ddcb4097134ff3c332f" minOccurs="0"/>
                <xsd:element ref="ns3:TaxCatchAll" minOccurs="0"/>
                <xsd:element ref="ns2:MediaServiceObjectDetectorVersion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90162f1-cb38-4b7d-bec0-649659a3a3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19d20570-8e1b-450f-9446-1281bb737161"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LengthInSeconds" ma:index="26"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4f1d843-956e-4cb1-a90e-303c4cad779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9b869a49-af3f-4022-9adf-b09598559b3b}" ma:internalName="TaxCatchAll" ma:showField="CatchAllData" ma:web="34f1d843-956e-4cb1-a90e-303c4cad779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DE3C90-3FE5-4935-B6A0-F3F756130A13}">
  <ds:schemaRefs>
    <ds:schemaRef ds:uri="http://schemas.microsoft.com/sharepoint/v3/contenttype/forms"/>
  </ds:schemaRefs>
</ds:datastoreItem>
</file>

<file path=customXml/itemProps2.xml><?xml version="1.0" encoding="utf-8"?>
<ds:datastoreItem xmlns:ds="http://schemas.openxmlformats.org/officeDocument/2006/customXml" ds:itemID="{E3680317-E6EC-492D-80D5-811EAC7258C8}">
  <ds:schemaRefs>
    <ds:schemaRef ds:uri="http://www.w3.org/XML/1998/namespace"/>
    <ds:schemaRef ds:uri="http://schemas.microsoft.com/office/2006/documentManagement/types"/>
    <ds:schemaRef ds:uri="http://purl.org/dc/terms/"/>
    <ds:schemaRef ds:uri="http://purl.org/dc/dcmitype/"/>
    <ds:schemaRef ds:uri="http://schemas.microsoft.com/office/2006/metadata/properties"/>
    <ds:schemaRef ds:uri="34f1d843-956e-4cb1-a90e-303c4cad7799"/>
    <ds:schemaRef ds:uri="http://schemas.microsoft.com/office/infopath/2007/PartnerControls"/>
    <ds:schemaRef ds:uri="http://purl.org/dc/elements/1.1/"/>
    <ds:schemaRef ds:uri="http://schemas.openxmlformats.org/package/2006/metadata/core-properties"/>
    <ds:schemaRef ds:uri="490162f1-cb38-4b7d-bec0-649659a3a3a5"/>
    <ds:schemaRef ds:uri="http://schemas.microsoft.com/sharepoint/v3"/>
  </ds:schemaRefs>
</ds:datastoreItem>
</file>

<file path=customXml/itemProps3.xml><?xml version="1.0" encoding="utf-8"?>
<ds:datastoreItem xmlns:ds="http://schemas.openxmlformats.org/officeDocument/2006/customXml" ds:itemID="{1CABE953-8BE5-48BB-AAC1-B5FCEE794A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90162f1-cb38-4b7d-bec0-649659a3a3a5"/>
    <ds:schemaRef ds:uri="34f1d843-956e-4cb1-a90e-303c4cad779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690cd1e2-446c-4066-abd4-4fc268806223}" enabled="1" method="Privileged" siteId="{7c4f77bb-bc61-4789-8aca-54aa04ebb634}"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44</vt:i4>
      </vt:variant>
    </vt:vector>
  </HeadingPairs>
  <TitlesOfParts>
    <vt:vector size="49" baseType="lpstr">
      <vt:lpstr>Sustainability Framework</vt:lpstr>
      <vt:lpstr>Planet Positive </vt:lpstr>
      <vt:lpstr>Emissions Water &amp; Waste Detail</vt:lpstr>
      <vt:lpstr>Business Positive</vt:lpstr>
      <vt:lpstr>Communities Positive</vt:lpstr>
      <vt:lpstr>Age_distribution_of_permanent_employees</vt:lpstr>
      <vt:lpstr>BBFootnotes</vt:lpstr>
      <vt:lpstr>BIFR_by_gender</vt:lpstr>
      <vt:lpstr>BIFR_by_segment</vt:lpstr>
      <vt:lpstr>Brambles_community_investment__US</vt:lpstr>
      <vt:lpstr>Brambles_Injury_Frequency_Rate__BIFR</vt:lpstr>
      <vt:lpstr>Customer_feedback</vt:lpstr>
      <vt:lpstr>Detailedemissions</vt:lpstr>
      <vt:lpstr>DetailedGHGDetail</vt:lpstr>
      <vt:lpstr>DetailedIntensity</vt:lpstr>
      <vt:lpstr>DetailedktCO2e</vt:lpstr>
      <vt:lpstr>DetailedRainwater_harvested__megalitres</vt:lpstr>
      <vt:lpstr>DetailedWaste</vt:lpstr>
      <vt:lpstr>DetailedWaste1</vt:lpstr>
      <vt:lpstr>DetailedWater</vt:lpstr>
      <vt:lpstr>DetailedWaterConsumed</vt:lpstr>
      <vt:lpstr>DetailedWaterRecycled</vt:lpstr>
      <vt:lpstr>Education__Training_and_Development</vt:lpstr>
      <vt:lpstr>Employee_hires_by_age_group</vt:lpstr>
      <vt:lpstr>Employee_hires_by_gender</vt:lpstr>
      <vt:lpstr>Employees_by_employment_contract</vt:lpstr>
      <vt:lpstr>Employees_by_employment_type</vt:lpstr>
      <vt:lpstr>Engagement__5</vt:lpstr>
      <vt:lpstr>Environmental_benefits_delivered_in_customers__supply_chains__15</vt:lpstr>
      <vt:lpstr>FNBP_1</vt:lpstr>
      <vt:lpstr>FNBP_10</vt:lpstr>
      <vt:lpstr>FNBP_11</vt:lpstr>
      <vt:lpstr>FNBP_5</vt:lpstr>
      <vt:lpstr>FNBP_9</vt:lpstr>
      <vt:lpstr>FNPB_12</vt:lpstr>
      <vt:lpstr>Footnotes</vt:lpstr>
      <vt:lpstr>Global_insights_relationship_survey</vt:lpstr>
      <vt:lpstr>Group_employees_returning_from_parental_leave_during_the_Year_as_a_percentage_of_those_who_took_parental_leave</vt:lpstr>
      <vt:lpstr>Group_employees_taking_parental_leave_during_the_Year</vt:lpstr>
      <vt:lpstr>Male__female_salary_ratios</vt:lpstr>
      <vt:lpstr>Number_of_employees</vt:lpstr>
      <vt:lpstr>Office_v_Plant_ratio__permanent_employees</vt:lpstr>
      <vt:lpstr>People_performance____Employee_Stats__12</vt:lpstr>
      <vt:lpstr>Permanent_employees_by_gender__management_positions__as_at_30_June____male_female</vt:lpstr>
      <vt:lpstr>Permanent_employees_by_gender__total_____male_female</vt:lpstr>
      <vt:lpstr>Sharing_and_reusing_model_performance</vt:lpstr>
      <vt:lpstr>Total_number_of_employee_hires</vt:lpstr>
      <vt:lpstr>Voluntary_turnover_of_employees</vt:lpstr>
      <vt:lpstr>Volunteering_hours</vt:lpstr>
    </vt:vector>
  </TitlesOfParts>
  <Manager/>
  <Company>Jennifer Lorance Consulting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Brambles 5 Year Performanc Data</dc:title>
  <dc:subject/>
  <dc:creator>Jennifer Lorance</dc:creator>
  <cp:keywords>v4</cp:keywords>
  <dc:description/>
  <cp:lastModifiedBy>Rosser, Debbie</cp:lastModifiedBy>
  <cp:revision/>
  <dcterms:created xsi:type="dcterms:W3CDTF">2016-09-12T01:46:21Z</dcterms:created>
  <dcterms:modified xsi:type="dcterms:W3CDTF">2023-09-21T02:23:59Z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0x0101002949E9D1F3404C48BE253433F3ACEA89</vt:lpwstr>
  </property>
  <property fmtid="{D5CDD505-2E9C-101B-9397-08002B2CF9AE}" pid="3" name="MediaServiceImageTags">
    <vt:lpwstr/>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y fmtid="{D5CDD505-2E9C-101B-9397-08002B2CF9AE}" pid="10" name="SV_QUERY_LIST_4F35BF76-6C0D-4D9B-82B2-816C12CF3733">
    <vt:lpwstr>empty_477D106A-C0D6-4607-AEBD-E2C9D60EA279</vt:lpwstr>
  </property>
  <property fmtid="{D5CDD505-2E9C-101B-9397-08002B2CF9AE}" pid="11" name="SV_HIDDEN_GRID_QUERY_LIST_4F35BF76-6C0D-4D9B-82B2-816C12CF3733">
    <vt:lpwstr>empty_477D106A-C0D6-4607-AEBD-E2C9D60EA279</vt:lpwstr>
  </property>
</Properties>
</file>